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stavební\"/>
    </mc:Choice>
  </mc:AlternateContent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62913"/>
</workbook>
</file>

<file path=xl/calcChain.xml><?xml version="1.0" encoding="utf-8"?>
<calcChain xmlns="http://schemas.openxmlformats.org/spreadsheetml/2006/main">
  <c r="BJ36" i="1" l="1"/>
  <c r="BF36" i="1"/>
  <c r="BD36" i="1"/>
  <c r="AP36" i="1"/>
  <c r="BI36" i="1" s="1"/>
  <c r="AC36" i="1" s="1"/>
  <c r="AO36" i="1"/>
  <c r="BH36" i="1" s="1"/>
  <c r="AB36" i="1" s="1"/>
  <c r="AK36" i="1"/>
  <c r="AT35" i="1" s="1"/>
  <c r="AJ36" i="1"/>
  <c r="AS35" i="1" s="1"/>
  <c r="AH36" i="1"/>
  <c r="AG36" i="1"/>
  <c r="AF36" i="1"/>
  <c r="AE36" i="1"/>
  <c r="AD36" i="1"/>
  <c r="Z36" i="1"/>
  <c r="K36" i="1"/>
  <c r="AL36" i="1" s="1"/>
  <c r="AU35" i="1" s="1"/>
  <c r="J36" i="1"/>
  <c r="J35" i="1" s="1"/>
  <c r="I36" i="1"/>
  <c r="I35" i="1" s="1"/>
  <c r="K35" i="1" l="1"/>
  <c r="K376" i="1" s="1"/>
  <c r="AW36" i="1"/>
  <c r="AX36" i="1"/>
  <c r="AV36" i="1" s="1"/>
  <c r="C2" i="2"/>
  <c r="F2" i="2"/>
  <c r="C4" i="2"/>
  <c r="F4" i="2"/>
  <c r="C6" i="2"/>
  <c r="F6" i="2"/>
  <c r="C8" i="2"/>
  <c r="F8" i="2"/>
  <c r="C10" i="2"/>
  <c r="F10" i="2"/>
  <c r="I10" i="2"/>
  <c r="F22" i="2"/>
  <c r="I22" i="2"/>
  <c r="K12" i="1"/>
  <c r="I13" i="1"/>
  <c r="I12" i="1" s="1"/>
  <c r="K13" i="1"/>
  <c r="Z13" i="1"/>
  <c r="AB13" i="1"/>
  <c r="AD13" i="1"/>
  <c r="AE13" i="1"/>
  <c r="AF13" i="1"/>
  <c r="AG13" i="1"/>
  <c r="AH13" i="1"/>
  <c r="AJ13" i="1"/>
  <c r="AS12" i="1" s="1"/>
  <c r="AK13" i="1"/>
  <c r="AT12" i="1" s="1"/>
  <c r="AL13" i="1"/>
  <c r="AU12" i="1" s="1"/>
  <c r="AO13" i="1"/>
  <c r="AP13" i="1"/>
  <c r="J13" i="1" s="1"/>
  <c r="J12" i="1" s="1"/>
  <c r="AW13" i="1"/>
  <c r="BD13" i="1"/>
  <c r="BF13" i="1"/>
  <c r="BH13" i="1"/>
  <c r="BI13" i="1"/>
  <c r="AC13" i="1" s="1"/>
  <c r="BJ13" i="1"/>
  <c r="AS15" i="1"/>
  <c r="J16" i="1"/>
  <c r="J15" i="1" s="1"/>
  <c r="K16" i="1"/>
  <c r="K15" i="1" s="1"/>
  <c r="Z16" i="1"/>
  <c r="AC16" i="1"/>
  <c r="AD16" i="1"/>
  <c r="AE16" i="1"/>
  <c r="AF16" i="1"/>
  <c r="AG16" i="1"/>
  <c r="AH16" i="1"/>
  <c r="AJ16" i="1"/>
  <c r="AK16" i="1"/>
  <c r="AT15" i="1" s="1"/>
  <c r="AL16" i="1"/>
  <c r="AU15" i="1" s="1"/>
  <c r="AO16" i="1"/>
  <c r="I16" i="1" s="1"/>
  <c r="I15" i="1" s="1"/>
  <c r="AP16" i="1"/>
  <c r="AV16" i="1"/>
  <c r="AW16" i="1"/>
  <c r="BC16" i="1" s="1"/>
  <c r="AX16" i="1"/>
  <c r="BD16" i="1"/>
  <c r="BF16" i="1"/>
  <c r="BH16" i="1"/>
  <c r="AB16" i="1" s="1"/>
  <c r="BI16" i="1"/>
  <c r="BJ16" i="1"/>
  <c r="AS18" i="1"/>
  <c r="J19" i="1"/>
  <c r="J18" i="1" s="1"/>
  <c r="K19" i="1"/>
  <c r="K18" i="1" s="1"/>
  <c r="Z19" i="1"/>
  <c r="AC19" i="1"/>
  <c r="AD19" i="1"/>
  <c r="AE19" i="1"/>
  <c r="AF19" i="1"/>
  <c r="AG19" i="1"/>
  <c r="AH19" i="1"/>
  <c r="AJ19" i="1"/>
  <c r="AK19" i="1"/>
  <c r="AL19" i="1"/>
  <c r="AU18" i="1" s="1"/>
  <c r="AO19" i="1"/>
  <c r="I19" i="1" s="1"/>
  <c r="I18" i="1" s="1"/>
  <c r="AP19" i="1"/>
  <c r="AW19" i="1"/>
  <c r="AX19" i="1"/>
  <c r="BD19" i="1"/>
  <c r="BF19" i="1"/>
  <c r="BH19" i="1"/>
  <c r="AB19" i="1" s="1"/>
  <c r="BI19" i="1"/>
  <c r="BJ19" i="1"/>
  <c r="I22" i="1"/>
  <c r="J22" i="1"/>
  <c r="K22" i="1"/>
  <c r="Z22" i="1"/>
  <c r="AB22" i="1"/>
  <c r="AC22" i="1"/>
  <c r="AD22" i="1"/>
  <c r="AE22" i="1"/>
  <c r="AF22" i="1"/>
  <c r="AG22" i="1"/>
  <c r="AH22" i="1"/>
  <c r="AJ22" i="1"/>
  <c r="AK22" i="1"/>
  <c r="AT18" i="1" s="1"/>
  <c r="AL22" i="1"/>
  <c r="AO22" i="1"/>
  <c r="AP22" i="1"/>
  <c r="AX22" i="1" s="1"/>
  <c r="AV22" i="1" s="1"/>
  <c r="AW22" i="1"/>
  <c r="BD22" i="1"/>
  <c r="BF22" i="1"/>
  <c r="BH22" i="1"/>
  <c r="BI22" i="1"/>
  <c r="BJ22" i="1"/>
  <c r="AS24" i="1"/>
  <c r="J25" i="1"/>
  <c r="K25" i="1"/>
  <c r="K24" i="1" s="1"/>
  <c r="Z25" i="1"/>
  <c r="AC25" i="1"/>
  <c r="AD25" i="1"/>
  <c r="AE25" i="1"/>
  <c r="AF25" i="1"/>
  <c r="AG25" i="1"/>
  <c r="AH25" i="1"/>
  <c r="AJ25" i="1"/>
  <c r="AK25" i="1"/>
  <c r="AL25" i="1"/>
  <c r="AU24" i="1" s="1"/>
  <c r="AO25" i="1"/>
  <c r="I25" i="1" s="1"/>
  <c r="I24" i="1" s="1"/>
  <c r="AP25" i="1"/>
  <c r="AW25" i="1"/>
  <c r="AX25" i="1"/>
  <c r="BD25" i="1"/>
  <c r="BF25" i="1"/>
  <c r="BH25" i="1"/>
  <c r="AB25" i="1" s="1"/>
  <c r="BI25" i="1"/>
  <c r="BJ25" i="1"/>
  <c r="I28" i="1"/>
  <c r="J28" i="1"/>
  <c r="K28" i="1"/>
  <c r="Z28" i="1"/>
  <c r="AB28" i="1"/>
  <c r="AC28" i="1"/>
  <c r="AD28" i="1"/>
  <c r="AE28" i="1"/>
  <c r="AF28" i="1"/>
  <c r="AG28" i="1"/>
  <c r="AH28" i="1"/>
  <c r="AJ28" i="1"/>
  <c r="AK28" i="1"/>
  <c r="AT24" i="1" s="1"/>
  <c r="AL28" i="1"/>
  <c r="AO28" i="1"/>
  <c r="AP28" i="1"/>
  <c r="AX28" i="1" s="1"/>
  <c r="AV28" i="1" s="1"/>
  <c r="AW28" i="1"/>
  <c r="BD28" i="1"/>
  <c r="BF28" i="1"/>
  <c r="BH28" i="1"/>
  <c r="BI28" i="1"/>
  <c r="BJ28" i="1"/>
  <c r="I30" i="1"/>
  <c r="K30" i="1"/>
  <c r="AL30" i="1" s="1"/>
  <c r="Z30" i="1"/>
  <c r="AB30" i="1"/>
  <c r="AD30" i="1"/>
  <c r="AE30" i="1"/>
  <c r="AF30" i="1"/>
  <c r="AG30" i="1"/>
  <c r="AH30" i="1"/>
  <c r="AJ30" i="1"/>
  <c r="AK30" i="1"/>
  <c r="AO30" i="1"/>
  <c r="AW30" i="1" s="1"/>
  <c r="AP30" i="1"/>
  <c r="BD30" i="1"/>
  <c r="BF30" i="1"/>
  <c r="BH30" i="1"/>
  <c r="BJ30" i="1"/>
  <c r="K32" i="1"/>
  <c r="AS32" i="1"/>
  <c r="I33" i="1"/>
  <c r="I32" i="1" s="1"/>
  <c r="J33" i="1"/>
  <c r="J32" i="1" s="1"/>
  <c r="K33" i="1"/>
  <c r="Z33" i="1"/>
  <c r="AB33" i="1"/>
  <c r="AC33" i="1"/>
  <c r="AD33" i="1"/>
  <c r="AE33" i="1"/>
  <c r="AF33" i="1"/>
  <c r="AG33" i="1"/>
  <c r="AH33" i="1"/>
  <c r="AJ33" i="1"/>
  <c r="AK33" i="1"/>
  <c r="AT32" i="1" s="1"/>
  <c r="AL33" i="1"/>
  <c r="AU32" i="1" s="1"/>
  <c r="AO33" i="1"/>
  <c r="AP33" i="1"/>
  <c r="AX33" i="1" s="1"/>
  <c r="AV33" i="1" s="1"/>
  <c r="AW33" i="1"/>
  <c r="BD33" i="1"/>
  <c r="BF33" i="1"/>
  <c r="BH33" i="1"/>
  <c r="BI33" i="1"/>
  <c r="BJ33" i="1"/>
  <c r="AS37" i="1"/>
  <c r="AT37" i="1"/>
  <c r="J38" i="1"/>
  <c r="J37" i="1" s="1"/>
  <c r="K38" i="1"/>
  <c r="K37" i="1" s="1"/>
  <c r="Z38" i="1"/>
  <c r="AC38" i="1"/>
  <c r="AD38" i="1"/>
  <c r="AE38" i="1"/>
  <c r="AF38" i="1"/>
  <c r="AG38" i="1"/>
  <c r="AH38" i="1"/>
  <c r="AJ38" i="1"/>
  <c r="AK38" i="1"/>
  <c r="AL38" i="1"/>
  <c r="AU37" i="1" s="1"/>
  <c r="AO38" i="1"/>
  <c r="I38" i="1" s="1"/>
  <c r="I37" i="1" s="1"/>
  <c r="AP38" i="1"/>
  <c r="AW38" i="1"/>
  <c r="AX38" i="1"/>
  <c r="BD38" i="1"/>
  <c r="BF38" i="1"/>
  <c r="BH38" i="1"/>
  <c r="AB38" i="1" s="1"/>
  <c r="BI38" i="1"/>
  <c r="BJ38" i="1"/>
  <c r="AT40" i="1"/>
  <c r="K41" i="1"/>
  <c r="Z41" i="1"/>
  <c r="AD41" i="1"/>
  <c r="AE41" i="1"/>
  <c r="AF41" i="1"/>
  <c r="AG41" i="1"/>
  <c r="AH41" i="1"/>
  <c r="AJ41" i="1"/>
  <c r="AS40" i="1" s="1"/>
  <c r="AK41" i="1"/>
  <c r="AO41" i="1"/>
  <c r="AP41" i="1"/>
  <c r="J41" i="1" s="1"/>
  <c r="J40" i="1" s="1"/>
  <c r="AX41" i="1"/>
  <c r="BD41" i="1"/>
  <c r="BF41" i="1"/>
  <c r="BH41" i="1"/>
  <c r="AB41" i="1" s="1"/>
  <c r="BI41" i="1"/>
  <c r="AC41" i="1" s="1"/>
  <c r="BJ41" i="1"/>
  <c r="J43" i="1"/>
  <c r="K43" i="1"/>
  <c r="Z43" i="1"/>
  <c r="AC43" i="1"/>
  <c r="AD43" i="1"/>
  <c r="AE43" i="1"/>
  <c r="AF43" i="1"/>
  <c r="AG43" i="1"/>
  <c r="AH43" i="1"/>
  <c r="AJ43" i="1"/>
  <c r="AK43" i="1"/>
  <c r="AL43" i="1"/>
  <c r="AO43" i="1"/>
  <c r="I43" i="1" s="1"/>
  <c r="AP43" i="1"/>
  <c r="AW43" i="1"/>
  <c r="AX43" i="1"/>
  <c r="BD43" i="1"/>
  <c r="BF43" i="1"/>
  <c r="BH43" i="1"/>
  <c r="AB43" i="1" s="1"/>
  <c r="BI43" i="1"/>
  <c r="BJ43" i="1"/>
  <c r="K46" i="1"/>
  <c r="Z46" i="1"/>
  <c r="AD46" i="1"/>
  <c r="AE46" i="1"/>
  <c r="AF46" i="1"/>
  <c r="AG46" i="1"/>
  <c r="AH46" i="1"/>
  <c r="AJ46" i="1"/>
  <c r="AK46" i="1"/>
  <c r="AO46" i="1"/>
  <c r="AP46" i="1"/>
  <c r="J46" i="1" s="1"/>
  <c r="AX46" i="1"/>
  <c r="BD46" i="1"/>
  <c r="BF46" i="1"/>
  <c r="BH46" i="1"/>
  <c r="AB46" i="1" s="1"/>
  <c r="BI46" i="1"/>
  <c r="AC46" i="1" s="1"/>
  <c r="BJ46" i="1"/>
  <c r="J48" i="1"/>
  <c r="K48" i="1"/>
  <c r="Z48" i="1"/>
  <c r="AC48" i="1"/>
  <c r="AD48" i="1"/>
  <c r="AE48" i="1"/>
  <c r="AF48" i="1"/>
  <c r="AG48" i="1"/>
  <c r="AH48" i="1"/>
  <c r="AJ48" i="1"/>
  <c r="AK48" i="1"/>
  <c r="AL48" i="1"/>
  <c r="AO48" i="1"/>
  <c r="I48" i="1" s="1"/>
  <c r="AP48" i="1"/>
  <c r="AW48" i="1"/>
  <c r="AX48" i="1"/>
  <c r="BD48" i="1"/>
  <c r="BF48" i="1"/>
  <c r="BH48" i="1"/>
  <c r="AB48" i="1" s="1"/>
  <c r="BI48" i="1"/>
  <c r="BJ48" i="1"/>
  <c r="I50" i="1"/>
  <c r="J50" i="1"/>
  <c r="K50" i="1"/>
  <c r="Z50" i="1"/>
  <c r="AB50" i="1"/>
  <c r="AC50" i="1"/>
  <c r="AD50" i="1"/>
  <c r="AE50" i="1"/>
  <c r="AF50" i="1"/>
  <c r="AG50" i="1"/>
  <c r="AH50" i="1"/>
  <c r="AJ50" i="1"/>
  <c r="AK50" i="1"/>
  <c r="AL50" i="1"/>
  <c r="AO50" i="1"/>
  <c r="AP50" i="1"/>
  <c r="AX50" i="1" s="1"/>
  <c r="AV50" i="1"/>
  <c r="AW50" i="1"/>
  <c r="BC50" i="1" s="1"/>
  <c r="BD50" i="1"/>
  <c r="BF50" i="1"/>
  <c r="BH50" i="1"/>
  <c r="BI50" i="1"/>
  <c r="BJ50" i="1"/>
  <c r="I52" i="1"/>
  <c r="K52" i="1"/>
  <c r="AL52" i="1" s="1"/>
  <c r="Z52" i="1"/>
  <c r="AB52" i="1"/>
  <c r="AD52" i="1"/>
  <c r="AE52" i="1"/>
  <c r="AF52" i="1"/>
  <c r="AG52" i="1"/>
  <c r="AH52" i="1"/>
  <c r="AJ52" i="1"/>
  <c r="AK52" i="1"/>
  <c r="AO52" i="1"/>
  <c r="AW52" i="1" s="1"/>
  <c r="AP52" i="1"/>
  <c r="BD52" i="1"/>
  <c r="BF52" i="1"/>
  <c r="BH52" i="1"/>
  <c r="BI52" i="1"/>
  <c r="AC52" i="1" s="1"/>
  <c r="BJ52" i="1"/>
  <c r="K54" i="1"/>
  <c r="AL54" i="1" s="1"/>
  <c r="Z54" i="1"/>
  <c r="AD54" i="1"/>
  <c r="AE54" i="1"/>
  <c r="AF54" i="1"/>
  <c r="AG54" i="1"/>
  <c r="AH54" i="1"/>
  <c r="AJ54" i="1"/>
  <c r="AK54" i="1"/>
  <c r="AO54" i="1"/>
  <c r="AP54" i="1"/>
  <c r="J54" i="1" s="1"/>
  <c r="AX54" i="1"/>
  <c r="BD54" i="1"/>
  <c r="BF54" i="1"/>
  <c r="BH54" i="1"/>
  <c r="AB54" i="1" s="1"/>
  <c r="BI54" i="1"/>
  <c r="AC54" i="1" s="1"/>
  <c r="BJ54" i="1"/>
  <c r="J59" i="1"/>
  <c r="K59" i="1"/>
  <c r="Z59" i="1"/>
  <c r="AC59" i="1"/>
  <c r="AD59" i="1"/>
  <c r="AE59" i="1"/>
  <c r="AF59" i="1"/>
  <c r="AG59" i="1"/>
  <c r="AH59" i="1"/>
  <c r="AJ59" i="1"/>
  <c r="AK59" i="1"/>
  <c r="AL59" i="1"/>
  <c r="AO59" i="1"/>
  <c r="I59" i="1" s="1"/>
  <c r="AP59" i="1"/>
  <c r="AW59" i="1"/>
  <c r="AX59" i="1"/>
  <c r="BD59" i="1"/>
  <c r="BF59" i="1"/>
  <c r="BH59" i="1"/>
  <c r="AB59" i="1" s="1"/>
  <c r="BI59" i="1"/>
  <c r="BJ59" i="1"/>
  <c r="I73" i="1"/>
  <c r="J73" i="1"/>
  <c r="K73" i="1"/>
  <c r="Z73" i="1"/>
  <c r="AB73" i="1"/>
  <c r="AC73" i="1"/>
  <c r="AD73" i="1"/>
  <c r="AE73" i="1"/>
  <c r="AF73" i="1"/>
  <c r="AG73" i="1"/>
  <c r="AH73" i="1"/>
  <c r="AJ73" i="1"/>
  <c r="AK73" i="1"/>
  <c r="AL73" i="1"/>
  <c r="AO73" i="1"/>
  <c r="AP73" i="1"/>
  <c r="AX73" i="1" s="1"/>
  <c r="AV73" i="1"/>
  <c r="AW73" i="1"/>
  <c r="BC73" i="1" s="1"/>
  <c r="BD73" i="1"/>
  <c r="BF73" i="1"/>
  <c r="BH73" i="1"/>
  <c r="BI73" i="1"/>
  <c r="BJ73" i="1"/>
  <c r="I75" i="1"/>
  <c r="K75" i="1"/>
  <c r="AL75" i="1" s="1"/>
  <c r="Z75" i="1"/>
  <c r="AB75" i="1"/>
  <c r="AD75" i="1"/>
  <c r="AE75" i="1"/>
  <c r="AF75" i="1"/>
  <c r="AG75" i="1"/>
  <c r="AH75" i="1"/>
  <c r="AJ75" i="1"/>
  <c r="AK75" i="1"/>
  <c r="AO75" i="1"/>
  <c r="AW75" i="1" s="1"/>
  <c r="AP75" i="1"/>
  <c r="BD75" i="1"/>
  <c r="BF75" i="1"/>
  <c r="BH75" i="1"/>
  <c r="BI75" i="1"/>
  <c r="AC75" i="1" s="1"/>
  <c r="BJ75" i="1"/>
  <c r="K77" i="1"/>
  <c r="AL77" i="1" s="1"/>
  <c r="Z77" i="1"/>
  <c r="AD77" i="1"/>
  <c r="AE77" i="1"/>
  <c r="AF77" i="1"/>
  <c r="AG77" i="1"/>
  <c r="AH77" i="1"/>
  <c r="AJ77" i="1"/>
  <c r="AK77" i="1"/>
  <c r="AO77" i="1"/>
  <c r="AP77" i="1"/>
  <c r="J77" i="1" s="1"/>
  <c r="AX77" i="1"/>
  <c r="BD77" i="1"/>
  <c r="BF77" i="1"/>
  <c r="BH77" i="1"/>
  <c r="AB77" i="1" s="1"/>
  <c r="BI77" i="1"/>
  <c r="AC77" i="1" s="1"/>
  <c r="BJ77" i="1"/>
  <c r="J86" i="1"/>
  <c r="K86" i="1"/>
  <c r="Z86" i="1"/>
  <c r="AC86" i="1"/>
  <c r="AD86" i="1"/>
  <c r="AE86" i="1"/>
  <c r="AF86" i="1"/>
  <c r="AG86" i="1"/>
  <c r="AH86" i="1"/>
  <c r="AJ86" i="1"/>
  <c r="AK86" i="1"/>
  <c r="AL86" i="1"/>
  <c r="AO86" i="1"/>
  <c r="I86" i="1" s="1"/>
  <c r="AP86" i="1"/>
  <c r="AW86" i="1"/>
  <c r="AX86" i="1"/>
  <c r="BD86" i="1"/>
  <c r="BF86" i="1"/>
  <c r="BH86" i="1"/>
  <c r="AB86" i="1" s="1"/>
  <c r="BI86" i="1"/>
  <c r="BJ86" i="1"/>
  <c r="I88" i="1"/>
  <c r="J88" i="1"/>
  <c r="K88" i="1"/>
  <c r="Z88" i="1"/>
  <c r="AB88" i="1"/>
  <c r="AC88" i="1"/>
  <c r="AD88" i="1"/>
  <c r="AE88" i="1"/>
  <c r="AF88" i="1"/>
  <c r="AG88" i="1"/>
  <c r="AH88" i="1"/>
  <c r="AJ88" i="1"/>
  <c r="AK88" i="1"/>
  <c r="AL88" i="1"/>
  <c r="AO88" i="1"/>
  <c r="AP88" i="1"/>
  <c r="AX88" i="1" s="1"/>
  <c r="AV88" i="1"/>
  <c r="AW88" i="1"/>
  <c r="BC88" i="1" s="1"/>
  <c r="BD88" i="1"/>
  <c r="BF88" i="1"/>
  <c r="BH88" i="1"/>
  <c r="BI88" i="1"/>
  <c r="BJ88" i="1"/>
  <c r="I91" i="1"/>
  <c r="K91" i="1"/>
  <c r="AL91" i="1" s="1"/>
  <c r="Z91" i="1"/>
  <c r="AB91" i="1"/>
  <c r="AD91" i="1"/>
  <c r="AE91" i="1"/>
  <c r="AF91" i="1"/>
  <c r="AG91" i="1"/>
  <c r="AH91" i="1"/>
  <c r="AJ91" i="1"/>
  <c r="AK91" i="1"/>
  <c r="AO91" i="1"/>
  <c r="AW91" i="1" s="1"/>
  <c r="AP91" i="1"/>
  <c r="BD91" i="1"/>
  <c r="BF91" i="1"/>
  <c r="BH91" i="1"/>
  <c r="BI91" i="1"/>
  <c r="AC91" i="1" s="1"/>
  <c r="BJ91" i="1"/>
  <c r="K105" i="1"/>
  <c r="AL105" i="1" s="1"/>
  <c r="Z105" i="1"/>
  <c r="AD105" i="1"/>
  <c r="AE105" i="1"/>
  <c r="AF105" i="1"/>
  <c r="AG105" i="1"/>
  <c r="AH105" i="1"/>
  <c r="AJ105" i="1"/>
  <c r="AK105" i="1"/>
  <c r="AO105" i="1"/>
  <c r="AP105" i="1"/>
  <c r="J105" i="1" s="1"/>
  <c r="BD105" i="1"/>
  <c r="BF105" i="1"/>
  <c r="BJ105" i="1"/>
  <c r="J107" i="1"/>
  <c r="K107" i="1"/>
  <c r="Z107" i="1"/>
  <c r="AC107" i="1"/>
  <c r="AD107" i="1"/>
  <c r="AE107" i="1"/>
  <c r="AF107" i="1"/>
  <c r="AG107" i="1"/>
  <c r="AH107" i="1"/>
  <c r="AJ107" i="1"/>
  <c r="AK107" i="1"/>
  <c r="AL107" i="1"/>
  <c r="AO107" i="1"/>
  <c r="I107" i="1" s="1"/>
  <c r="AP107" i="1"/>
  <c r="AX107" i="1"/>
  <c r="BD107" i="1"/>
  <c r="BF107" i="1"/>
  <c r="BI107" i="1"/>
  <c r="BJ107" i="1"/>
  <c r="I109" i="1"/>
  <c r="J109" i="1"/>
  <c r="K109" i="1"/>
  <c r="Z109" i="1"/>
  <c r="AB109" i="1"/>
  <c r="AC109" i="1"/>
  <c r="AD109" i="1"/>
  <c r="AE109" i="1"/>
  <c r="AF109" i="1"/>
  <c r="AG109" i="1"/>
  <c r="AH109" i="1"/>
  <c r="AJ109" i="1"/>
  <c r="AK109" i="1"/>
  <c r="AL109" i="1"/>
  <c r="AO109" i="1"/>
  <c r="AP109" i="1"/>
  <c r="AX109" i="1" s="1"/>
  <c r="AV109" i="1" s="1"/>
  <c r="AW109" i="1"/>
  <c r="BD109" i="1"/>
  <c r="BF109" i="1"/>
  <c r="BH109" i="1"/>
  <c r="BI109" i="1"/>
  <c r="BJ109" i="1"/>
  <c r="K123" i="1"/>
  <c r="AL123" i="1" s="1"/>
  <c r="Z123" i="1"/>
  <c r="AD123" i="1"/>
  <c r="AE123" i="1"/>
  <c r="AF123" i="1"/>
  <c r="AG123" i="1"/>
  <c r="AH123" i="1"/>
  <c r="AJ123" i="1"/>
  <c r="AK123" i="1"/>
  <c r="AO123" i="1"/>
  <c r="AP123" i="1"/>
  <c r="J123" i="1" s="1"/>
  <c r="BD123" i="1"/>
  <c r="BF123" i="1"/>
  <c r="BI123" i="1"/>
  <c r="AC123" i="1" s="1"/>
  <c r="BJ123" i="1"/>
  <c r="J126" i="1"/>
  <c r="K126" i="1"/>
  <c r="Z126" i="1"/>
  <c r="AC126" i="1"/>
  <c r="AD126" i="1"/>
  <c r="AE126" i="1"/>
  <c r="AF126" i="1"/>
  <c r="AG126" i="1"/>
  <c r="AH126" i="1"/>
  <c r="AJ126" i="1"/>
  <c r="AK126" i="1"/>
  <c r="AL126" i="1"/>
  <c r="AO126" i="1"/>
  <c r="I126" i="1" s="1"/>
  <c r="AP126" i="1"/>
  <c r="AW126" i="1"/>
  <c r="AX126" i="1"/>
  <c r="BD126" i="1"/>
  <c r="BF126" i="1"/>
  <c r="BH126" i="1"/>
  <c r="AB126" i="1" s="1"/>
  <c r="BI126" i="1"/>
  <c r="BJ126" i="1"/>
  <c r="I131" i="1"/>
  <c r="J131" i="1"/>
  <c r="K131" i="1"/>
  <c r="Z131" i="1"/>
  <c r="AB131" i="1"/>
  <c r="AC131" i="1"/>
  <c r="AD131" i="1"/>
  <c r="AE131" i="1"/>
  <c r="AF131" i="1"/>
  <c r="AG131" i="1"/>
  <c r="AH131" i="1"/>
  <c r="AJ131" i="1"/>
  <c r="AK131" i="1"/>
  <c r="AL131" i="1"/>
  <c r="AO131" i="1"/>
  <c r="AP131" i="1"/>
  <c r="AV131" i="1"/>
  <c r="AW131" i="1"/>
  <c r="BC131" i="1" s="1"/>
  <c r="AX131" i="1"/>
  <c r="BD131" i="1"/>
  <c r="BF131" i="1"/>
  <c r="BH131" i="1"/>
  <c r="BI131" i="1"/>
  <c r="BJ131" i="1"/>
  <c r="I133" i="1"/>
  <c r="J133" i="1"/>
  <c r="K133" i="1"/>
  <c r="Z133" i="1"/>
  <c r="AB133" i="1"/>
  <c r="AC133" i="1"/>
  <c r="AD133" i="1"/>
  <c r="AE133" i="1"/>
  <c r="AF133" i="1"/>
  <c r="AG133" i="1"/>
  <c r="AH133" i="1"/>
  <c r="AJ133" i="1"/>
  <c r="AK133" i="1"/>
  <c r="AL133" i="1"/>
  <c r="AO133" i="1"/>
  <c r="AP133" i="1"/>
  <c r="AX133" i="1" s="1"/>
  <c r="AV133" i="1"/>
  <c r="AW133" i="1"/>
  <c r="BC133" i="1" s="1"/>
  <c r="BD133" i="1"/>
  <c r="BF133" i="1"/>
  <c r="BH133" i="1"/>
  <c r="BI133" i="1"/>
  <c r="BJ133" i="1"/>
  <c r="I135" i="1"/>
  <c r="K135" i="1"/>
  <c r="AL135" i="1" s="1"/>
  <c r="Z135" i="1"/>
  <c r="AD135" i="1"/>
  <c r="AE135" i="1"/>
  <c r="AF135" i="1"/>
  <c r="AG135" i="1"/>
  <c r="AH135" i="1"/>
  <c r="AJ135" i="1"/>
  <c r="AK135" i="1"/>
  <c r="AO135" i="1"/>
  <c r="AW135" i="1" s="1"/>
  <c r="AP135" i="1"/>
  <c r="BD135" i="1"/>
  <c r="BF135" i="1"/>
  <c r="BH135" i="1"/>
  <c r="AB135" i="1" s="1"/>
  <c r="BJ135" i="1"/>
  <c r="K137" i="1"/>
  <c r="AU137" i="1"/>
  <c r="I138" i="1"/>
  <c r="I137" i="1" s="1"/>
  <c r="K138" i="1"/>
  <c r="Z138" i="1"/>
  <c r="AB138" i="1"/>
  <c r="AD138" i="1"/>
  <c r="AE138" i="1"/>
  <c r="AF138" i="1"/>
  <c r="AG138" i="1"/>
  <c r="AH138" i="1"/>
  <c r="AJ138" i="1"/>
  <c r="AS137" i="1" s="1"/>
  <c r="AK138" i="1"/>
  <c r="AT137" i="1" s="1"/>
  <c r="AL138" i="1"/>
  <c r="AO138" i="1"/>
  <c r="AP138" i="1"/>
  <c r="AW138" i="1"/>
  <c r="BD138" i="1"/>
  <c r="BF138" i="1"/>
  <c r="BH138" i="1"/>
  <c r="BJ138" i="1"/>
  <c r="I142" i="1"/>
  <c r="J142" i="1"/>
  <c r="K142" i="1"/>
  <c r="Z142" i="1"/>
  <c r="AB142" i="1"/>
  <c r="AC142" i="1"/>
  <c r="AF142" i="1"/>
  <c r="AG142" i="1"/>
  <c r="AH142" i="1"/>
  <c r="AJ142" i="1"/>
  <c r="AK142" i="1"/>
  <c r="AT141" i="1" s="1"/>
  <c r="AL142" i="1"/>
  <c r="AO142" i="1"/>
  <c r="AP142" i="1"/>
  <c r="AV142" i="1"/>
  <c r="AW142" i="1"/>
  <c r="BC142" i="1" s="1"/>
  <c r="AX142" i="1"/>
  <c r="BD142" i="1"/>
  <c r="BF142" i="1"/>
  <c r="BH142" i="1"/>
  <c r="AD142" i="1" s="1"/>
  <c r="BI142" i="1"/>
  <c r="AE142" i="1" s="1"/>
  <c r="BJ142" i="1"/>
  <c r="I145" i="1"/>
  <c r="J145" i="1"/>
  <c r="K145" i="1"/>
  <c r="Z145" i="1"/>
  <c r="AB145" i="1"/>
  <c r="AC145" i="1"/>
  <c r="AF145" i="1"/>
  <c r="AG145" i="1"/>
  <c r="AH145" i="1"/>
  <c r="AJ145" i="1"/>
  <c r="AK145" i="1"/>
  <c r="AL145" i="1"/>
  <c r="AO145" i="1"/>
  <c r="AP145" i="1"/>
  <c r="AW145" i="1"/>
  <c r="AX145" i="1"/>
  <c r="BD145" i="1"/>
  <c r="BF145" i="1"/>
  <c r="BH145" i="1"/>
  <c r="AD145" i="1" s="1"/>
  <c r="BI145" i="1"/>
  <c r="AE145" i="1" s="1"/>
  <c r="BJ145" i="1"/>
  <c r="I147" i="1"/>
  <c r="J147" i="1"/>
  <c r="K147" i="1"/>
  <c r="Z147" i="1"/>
  <c r="AB147" i="1"/>
  <c r="AC147" i="1"/>
  <c r="AF147" i="1"/>
  <c r="AG147" i="1"/>
  <c r="AH147" i="1"/>
  <c r="AJ147" i="1"/>
  <c r="AK147" i="1"/>
  <c r="AL147" i="1"/>
  <c r="AO147" i="1"/>
  <c r="AP147" i="1"/>
  <c r="AV147" i="1"/>
  <c r="AW147" i="1"/>
  <c r="BC147" i="1" s="1"/>
  <c r="AX147" i="1"/>
  <c r="BD147" i="1"/>
  <c r="BF147" i="1"/>
  <c r="BH147" i="1"/>
  <c r="AD147" i="1" s="1"/>
  <c r="BI147" i="1"/>
  <c r="AE147" i="1" s="1"/>
  <c r="BJ147" i="1"/>
  <c r="I149" i="1"/>
  <c r="K149" i="1"/>
  <c r="Z149" i="1"/>
  <c r="AB149" i="1"/>
  <c r="AC149" i="1"/>
  <c r="AF149" i="1"/>
  <c r="AG149" i="1"/>
  <c r="AH149" i="1"/>
  <c r="AJ149" i="1"/>
  <c r="AK149" i="1"/>
  <c r="AL149" i="1"/>
  <c r="AO149" i="1"/>
  <c r="AP149" i="1"/>
  <c r="AW149" i="1"/>
  <c r="BD149" i="1"/>
  <c r="BF149" i="1"/>
  <c r="BH149" i="1"/>
  <c r="AD149" i="1" s="1"/>
  <c r="BJ149" i="1"/>
  <c r="K151" i="1"/>
  <c r="AL151" i="1" s="1"/>
  <c r="Z151" i="1"/>
  <c r="AB151" i="1"/>
  <c r="AC151" i="1"/>
  <c r="AF151" i="1"/>
  <c r="AG151" i="1"/>
  <c r="AH151" i="1"/>
  <c r="AJ151" i="1"/>
  <c r="AK151" i="1"/>
  <c r="AO151" i="1"/>
  <c r="BH151" i="1" s="1"/>
  <c r="AD151" i="1" s="1"/>
  <c r="AP151" i="1"/>
  <c r="J151" i="1" s="1"/>
  <c r="AX151" i="1"/>
  <c r="BD151" i="1"/>
  <c r="BF151" i="1"/>
  <c r="BI151" i="1"/>
  <c r="AE151" i="1" s="1"/>
  <c r="BJ151" i="1"/>
  <c r="J153" i="1"/>
  <c r="K153" i="1"/>
  <c r="Z153" i="1"/>
  <c r="AB153" i="1"/>
  <c r="AC153" i="1"/>
  <c r="AF153" i="1"/>
  <c r="AG153" i="1"/>
  <c r="AH153" i="1"/>
  <c r="AJ153" i="1"/>
  <c r="AK153" i="1"/>
  <c r="AL153" i="1"/>
  <c r="AO153" i="1"/>
  <c r="I153" i="1" s="1"/>
  <c r="AP153" i="1"/>
  <c r="AW153" i="1"/>
  <c r="AX153" i="1"/>
  <c r="BD153" i="1"/>
  <c r="BF153" i="1"/>
  <c r="BH153" i="1"/>
  <c r="AD153" i="1" s="1"/>
  <c r="BI153" i="1"/>
  <c r="AE153" i="1" s="1"/>
  <c r="BJ153" i="1"/>
  <c r="I155" i="1"/>
  <c r="J155" i="1"/>
  <c r="K155" i="1"/>
  <c r="Z155" i="1"/>
  <c r="AB155" i="1"/>
  <c r="AC155" i="1"/>
  <c r="AF155" i="1"/>
  <c r="AG155" i="1"/>
  <c r="AH155" i="1"/>
  <c r="AJ155" i="1"/>
  <c r="AK155" i="1"/>
  <c r="AL155" i="1"/>
  <c r="AO155" i="1"/>
  <c r="AP155" i="1"/>
  <c r="AV155" i="1"/>
  <c r="AW155" i="1"/>
  <c r="BC155" i="1" s="1"/>
  <c r="AX155" i="1"/>
  <c r="BD155" i="1"/>
  <c r="BF155" i="1"/>
  <c r="BH155" i="1"/>
  <c r="AD155" i="1" s="1"/>
  <c r="BI155" i="1"/>
  <c r="AE155" i="1" s="1"/>
  <c r="BJ155" i="1"/>
  <c r="I157" i="1"/>
  <c r="K157" i="1"/>
  <c r="Z157" i="1"/>
  <c r="AB157" i="1"/>
  <c r="AC157" i="1"/>
  <c r="AF157" i="1"/>
  <c r="AG157" i="1"/>
  <c r="AH157" i="1"/>
  <c r="AJ157" i="1"/>
  <c r="AK157" i="1"/>
  <c r="AL157" i="1"/>
  <c r="AO157" i="1"/>
  <c r="AP157" i="1"/>
  <c r="AW157" i="1"/>
  <c r="BD157" i="1"/>
  <c r="BF157" i="1"/>
  <c r="BH157" i="1"/>
  <c r="AD157" i="1" s="1"/>
  <c r="BI157" i="1"/>
  <c r="AE157" i="1" s="1"/>
  <c r="BJ157" i="1"/>
  <c r="K159" i="1"/>
  <c r="AL159" i="1" s="1"/>
  <c r="Z159" i="1"/>
  <c r="AB159" i="1"/>
  <c r="AC159" i="1"/>
  <c r="AF159" i="1"/>
  <c r="AG159" i="1"/>
  <c r="AH159" i="1"/>
  <c r="AJ159" i="1"/>
  <c r="AK159" i="1"/>
  <c r="AO159" i="1"/>
  <c r="BH159" i="1" s="1"/>
  <c r="AD159" i="1" s="1"/>
  <c r="AP159" i="1"/>
  <c r="BD159" i="1"/>
  <c r="BF159" i="1"/>
  <c r="BJ159" i="1"/>
  <c r="J161" i="1"/>
  <c r="K161" i="1"/>
  <c r="Z161" i="1"/>
  <c r="AB161" i="1"/>
  <c r="AC161" i="1"/>
  <c r="AF161" i="1"/>
  <c r="AG161" i="1"/>
  <c r="AH161" i="1"/>
  <c r="AJ161" i="1"/>
  <c r="AK161" i="1"/>
  <c r="AL161" i="1"/>
  <c r="AO161" i="1"/>
  <c r="AP161" i="1"/>
  <c r="AX161" i="1"/>
  <c r="BD161" i="1"/>
  <c r="BF161" i="1"/>
  <c r="BI161" i="1"/>
  <c r="AE161" i="1" s="1"/>
  <c r="BJ161" i="1"/>
  <c r="I163" i="1"/>
  <c r="J163" i="1"/>
  <c r="K163" i="1"/>
  <c r="Z163" i="1"/>
  <c r="AB163" i="1"/>
  <c r="AC163" i="1"/>
  <c r="AF163" i="1"/>
  <c r="AG163" i="1"/>
  <c r="AH163" i="1"/>
  <c r="AJ163" i="1"/>
  <c r="AK163" i="1"/>
  <c r="AL163" i="1"/>
  <c r="AO163" i="1"/>
  <c r="AP163" i="1"/>
  <c r="AW163" i="1"/>
  <c r="AX163" i="1"/>
  <c r="BD163" i="1"/>
  <c r="BF163" i="1"/>
  <c r="BH163" i="1"/>
  <c r="AD163" i="1" s="1"/>
  <c r="BI163" i="1"/>
  <c r="AE163" i="1" s="1"/>
  <c r="BJ163" i="1"/>
  <c r="I165" i="1"/>
  <c r="K165" i="1"/>
  <c r="Z165" i="1"/>
  <c r="AB165" i="1"/>
  <c r="AC165" i="1"/>
  <c r="AF165" i="1"/>
  <c r="AG165" i="1"/>
  <c r="AH165" i="1"/>
  <c r="AJ165" i="1"/>
  <c r="AK165" i="1"/>
  <c r="AL165" i="1"/>
  <c r="AO165" i="1"/>
  <c r="AP165" i="1"/>
  <c r="AW165" i="1"/>
  <c r="BD165" i="1"/>
  <c r="BF165" i="1"/>
  <c r="BH165" i="1"/>
  <c r="AD165" i="1" s="1"/>
  <c r="BJ165" i="1"/>
  <c r="K167" i="1"/>
  <c r="AL167" i="1" s="1"/>
  <c r="Z167" i="1"/>
  <c r="AB167" i="1"/>
  <c r="AC167" i="1"/>
  <c r="AE167" i="1"/>
  <c r="AF167" i="1"/>
  <c r="AG167" i="1"/>
  <c r="AH167" i="1"/>
  <c r="AJ167" i="1"/>
  <c r="AK167" i="1"/>
  <c r="AO167" i="1"/>
  <c r="AP167" i="1"/>
  <c r="J167" i="1" s="1"/>
  <c r="AX167" i="1"/>
  <c r="BD167" i="1"/>
  <c r="BF167" i="1"/>
  <c r="BI167" i="1"/>
  <c r="BJ167" i="1"/>
  <c r="J169" i="1"/>
  <c r="K169" i="1"/>
  <c r="Z169" i="1"/>
  <c r="AB169" i="1"/>
  <c r="AC169" i="1"/>
  <c r="AF169" i="1"/>
  <c r="AG169" i="1"/>
  <c r="AH169" i="1"/>
  <c r="AJ169" i="1"/>
  <c r="AK169" i="1"/>
  <c r="AL169" i="1"/>
  <c r="AO169" i="1"/>
  <c r="I169" i="1" s="1"/>
  <c r="AP169" i="1"/>
  <c r="AX169" i="1"/>
  <c r="BD169" i="1"/>
  <c r="BF169" i="1"/>
  <c r="BI169" i="1"/>
  <c r="AE169" i="1" s="1"/>
  <c r="BJ169" i="1"/>
  <c r="I171" i="1"/>
  <c r="J171" i="1"/>
  <c r="K171" i="1"/>
  <c r="Z171" i="1"/>
  <c r="AB171" i="1"/>
  <c r="AC171" i="1"/>
  <c r="AF171" i="1"/>
  <c r="AG171" i="1"/>
  <c r="AH171" i="1"/>
  <c r="AJ171" i="1"/>
  <c r="AK171" i="1"/>
  <c r="AL171" i="1"/>
  <c r="AO171" i="1"/>
  <c r="AP171" i="1"/>
  <c r="AV171" i="1"/>
  <c r="AW171" i="1"/>
  <c r="BC171" i="1" s="1"/>
  <c r="AX171" i="1"/>
  <c r="BD171" i="1"/>
  <c r="BF171" i="1"/>
  <c r="BH171" i="1"/>
  <c r="AD171" i="1" s="1"/>
  <c r="BI171" i="1"/>
  <c r="AE171" i="1" s="1"/>
  <c r="BJ171" i="1"/>
  <c r="I173" i="1"/>
  <c r="K173" i="1"/>
  <c r="AB173" i="1"/>
  <c r="AC173" i="1"/>
  <c r="AD173" i="1"/>
  <c r="AE173" i="1"/>
  <c r="AF173" i="1"/>
  <c r="AG173" i="1"/>
  <c r="AH173" i="1"/>
  <c r="AJ173" i="1"/>
  <c r="AK173" i="1"/>
  <c r="AL173" i="1"/>
  <c r="AO173" i="1"/>
  <c r="AP173" i="1"/>
  <c r="BI173" i="1" s="1"/>
  <c r="AW173" i="1"/>
  <c r="BD173" i="1"/>
  <c r="BF173" i="1"/>
  <c r="BH173" i="1"/>
  <c r="BJ173" i="1"/>
  <c r="Z173" i="1" s="1"/>
  <c r="AS175" i="1"/>
  <c r="I176" i="1"/>
  <c r="J176" i="1"/>
  <c r="K176" i="1"/>
  <c r="Z176" i="1"/>
  <c r="AB176" i="1"/>
  <c r="AC176" i="1"/>
  <c r="AF176" i="1"/>
  <c r="AG176" i="1"/>
  <c r="AH176" i="1"/>
  <c r="AJ176" i="1"/>
  <c r="AK176" i="1"/>
  <c r="AL176" i="1"/>
  <c r="AU175" i="1" s="1"/>
  <c r="AO176" i="1"/>
  <c r="AP176" i="1"/>
  <c r="AW176" i="1"/>
  <c r="AX176" i="1"/>
  <c r="BD176" i="1"/>
  <c r="BF176" i="1"/>
  <c r="BH176" i="1"/>
  <c r="AD176" i="1" s="1"/>
  <c r="BI176" i="1"/>
  <c r="AE176" i="1" s="1"/>
  <c r="BJ176" i="1"/>
  <c r="I178" i="1"/>
  <c r="K178" i="1"/>
  <c r="Z178" i="1"/>
  <c r="AB178" i="1"/>
  <c r="AC178" i="1"/>
  <c r="AF178" i="1"/>
  <c r="AG178" i="1"/>
  <c r="AH178" i="1"/>
  <c r="AJ178" i="1"/>
  <c r="AK178" i="1"/>
  <c r="AL178" i="1"/>
  <c r="AO178" i="1"/>
  <c r="AP178" i="1"/>
  <c r="AW178" i="1"/>
  <c r="BD178" i="1"/>
  <c r="BF178" i="1"/>
  <c r="BH178" i="1"/>
  <c r="AD178" i="1" s="1"/>
  <c r="BJ178" i="1"/>
  <c r="K181" i="1"/>
  <c r="AL181" i="1" s="1"/>
  <c r="Z181" i="1"/>
  <c r="AB181" i="1"/>
  <c r="AC181" i="1"/>
  <c r="AF181" i="1"/>
  <c r="AG181" i="1"/>
  <c r="AH181" i="1"/>
  <c r="AJ181" i="1"/>
  <c r="AK181" i="1"/>
  <c r="AO181" i="1"/>
  <c r="AP181" i="1"/>
  <c r="J181" i="1" s="1"/>
  <c r="AX181" i="1"/>
  <c r="BD181" i="1"/>
  <c r="BF181" i="1"/>
  <c r="BJ181" i="1"/>
  <c r="J185" i="1"/>
  <c r="K185" i="1"/>
  <c r="AL185" i="1" s="1"/>
  <c r="Z185" i="1"/>
  <c r="AB185" i="1"/>
  <c r="AC185" i="1"/>
  <c r="AD185" i="1"/>
  <c r="AE185" i="1"/>
  <c r="AF185" i="1"/>
  <c r="AG185" i="1"/>
  <c r="AH185" i="1"/>
  <c r="AJ185" i="1"/>
  <c r="AK185" i="1"/>
  <c r="AO185" i="1"/>
  <c r="I185" i="1" s="1"/>
  <c r="AP185" i="1"/>
  <c r="AW185" i="1"/>
  <c r="AX185" i="1"/>
  <c r="BD185" i="1"/>
  <c r="BF185" i="1"/>
  <c r="BI185" i="1"/>
  <c r="BJ185" i="1"/>
  <c r="AU187" i="1"/>
  <c r="K188" i="1"/>
  <c r="AL188" i="1" s="1"/>
  <c r="Z188" i="1"/>
  <c r="AB188" i="1"/>
  <c r="AC188" i="1"/>
  <c r="AF188" i="1"/>
  <c r="AG188" i="1"/>
  <c r="AH188" i="1"/>
  <c r="AJ188" i="1"/>
  <c r="AS187" i="1" s="1"/>
  <c r="AK188" i="1"/>
  <c r="AT187" i="1" s="1"/>
  <c r="AO188" i="1"/>
  <c r="AW188" i="1" s="1"/>
  <c r="AP188" i="1"/>
  <c r="J188" i="1" s="1"/>
  <c r="J187" i="1" s="1"/>
  <c r="AX188" i="1"/>
  <c r="BC188" i="1" s="1"/>
  <c r="BD188" i="1"/>
  <c r="BF188" i="1"/>
  <c r="BH188" i="1"/>
  <c r="AD188" i="1" s="1"/>
  <c r="BJ188" i="1"/>
  <c r="I191" i="1"/>
  <c r="J191" i="1"/>
  <c r="K191" i="1"/>
  <c r="Z191" i="1"/>
  <c r="AB191" i="1"/>
  <c r="AC191" i="1"/>
  <c r="AF191" i="1"/>
  <c r="AG191" i="1"/>
  <c r="AH191" i="1"/>
  <c r="AJ191" i="1"/>
  <c r="AK191" i="1"/>
  <c r="AL191" i="1"/>
  <c r="AO191" i="1"/>
  <c r="AP191" i="1"/>
  <c r="AX191" i="1" s="1"/>
  <c r="AV191" i="1"/>
  <c r="AW191" i="1"/>
  <c r="BC191" i="1"/>
  <c r="BD191" i="1"/>
  <c r="BF191" i="1"/>
  <c r="BH191" i="1"/>
  <c r="AD191" i="1" s="1"/>
  <c r="BI191" i="1"/>
  <c r="AE191" i="1" s="1"/>
  <c r="BJ191" i="1"/>
  <c r="K193" i="1"/>
  <c r="AL193" i="1" s="1"/>
  <c r="Z193" i="1"/>
  <c r="AB193" i="1"/>
  <c r="AC193" i="1"/>
  <c r="AE193" i="1"/>
  <c r="AF193" i="1"/>
  <c r="AG193" i="1"/>
  <c r="AH193" i="1"/>
  <c r="AJ193" i="1"/>
  <c r="AK193" i="1"/>
  <c r="AO193" i="1"/>
  <c r="AW193" i="1" s="1"/>
  <c r="AP193" i="1"/>
  <c r="J193" i="1" s="1"/>
  <c r="AV193" i="1"/>
  <c r="AX193" i="1"/>
  <c r="BC193" i="1"/>
  <c r="BD193" i="1"/>
  <c r="BF193" i="1"/>
  <c r="BI193" i="1"/>
  <c r="BJ193" i="1"/>
  <c r="J195" i="1"/>
  <c r="K195" i="1"/>
  <c r="Z195" i="1"/>
  <c r="AB195" i="1"/>
  <c r="AC195" i="1"/>
  <c r="AF195" i="1"/>
  <c r="AG195" i="1"/>
  <c r="AH195" i="1"/>
  <c r="AJ195" i="1"/>
  <c r="AK195" i="1"/>
  <c r="AL195" i="1"/>
  <c r="AO195" i="1"/>
  <c r="I195" i="1" s="1"/>
  <c r="AP195" i="1"/>
  <c r="BI195" i="1" s="1"/>
  <c r="AE195" i="1" s="1"/>
  <c r="AX195" i="1"/>
  <c r="BD195" i="1"/>
  <c r="BF195" i="1"/>
  <c r="BH195" i="1"/>
  <c r="AD195" i="1" s="1"/>
  <c r="BJ195" i="1"/>
  <c r="J197" i="1"/>
  <c r="K197" i="1"/>
  <c r="AL197" i="1" s="1"/>
  <c r="Z197" i="1"/>
  <c r="AB197" i="1"/>
  <c r="AC197" i="1"/>
  <c r="AF197" i="1"/>
  <c r="AG197" i="1"/>
  <c r="AH197" i="1"/>
  <c r="AJ197" i="1"/>
  <c r="AK197" i="1"/>
  <c r="AO197" i="1"/>
  <c r="AP197" i="1"/>
  <c r="AX197" i="1"/>
  <c r="BD197" i="1"/>
  <c r="BF197" i="1"/>
  <c r="BI197" i="1"/>
  <c r="AE197" i="1" s="1"/>
  <c r="BJ197" i="1"/>
  <c r="I200" i="1"/>
  <c r="K200" i="1"/>
  <c r="Z200" i="1"/>
  <c r="AB200" i="1"/>
  <c r="AC200" i="1"/>
  <c r="AF200" i="1"/>
  <c r="AG200" i="1"/>
  <c r="AH200" i="1"/>
  <c r="AJ200" i="1"/>
  <c r="AK200" i="1"/>
  <c r="AL200" i="1"/>
  <c r="AO200" i="1"/>
  <c r="AP200" i="1"/>
  <c r="AW200" i="1"/>
  <c r="BD200" i="1"/>
  <c r="BF200" i="1"/>
  <c r="BH200" i="1"/>
  <c r="AD200" i="1" s="1"/>
  <c r="BJ200" i="1"/>
  <c r="K202" i="1"/>
  <c r="AL202" i="1" s="1"/>
  <c r="Z202" i="1"/>
  <c r="AB202" i="1"/>
  <c r="AC202" i="1"/>
  <c r="AF202" i="1"/>
  <c r="AG202" i="1"/>
  <c r="AH202" i="1"/>
  <c r="AJ202" i="1"/>
  <c r="AK202" i="1"/>
  <c r="AO202" i="1"/>
  <c r="AW202" i="1" s="1"/>
  <c r="AP202" i="1"/>
  <c r="J202" i="1" s="1"/>
  <c r="AX202" i="1"/>
  <c r="BC202" i="1" s="1"/>
  <c r="BD202" i="1"/>
  <c r="BF202" i="1"/>
  <c r="BH202" i="1"/>
  <c r="AD202" i="1" s="1"/>
  <c r="BJ202" i="1"/>
  <c r="K204" i="1"/>
  <c r="AL204" i="1" s="1"/>
  <c r="Z204" i="1"/>
  <c r="AB204" i="1"/>
  <c r="AC204" i="1"/>
  <c r="AF204" i="1"/>
  <c r="AG204" i="1"/>
  <c r="AH204" i="1"/>
  <c r="AJ204" i="1"/>
  <c r="AK204" i="1"/>
  <c r="AO204" i="1"/>
  <c r="BH204" i="1" s="1"/>
  <c r="AD204" i="1" s="1"/>
  <c r="AP204" i="1"/>
  <c r="J204" i="1" s="1"/>
  <c r="AX204" i="1"/>
  <c r="BD204" i="1"/>
  <c r="BF204" i="1"/>
  <c r="BI204" i="1"/>
  <c r="AE204" i="1" s="1"/>
  <c r="BJ204" i="1"/>
  <c r="J206" i="1"/>
  <c r="K206" i="1"/>
  <c r="Z206" i="1"/>
  <c r="AB206" i="1"/>
  <c r="AC206" i="1"/>
  <c r="AF206" i="1"/>
  <c r="AG206" i="1"/>
  <c r="AH206" i="1"/>
  <c r="AJ206" i="1"/>
  <c r="AK206" i="1"/>
  <c r="AL206" i="1"/>
  <c r="AO206" i="1"/>
  <c r="I206" i="1" s="1"/>
  <c r="AP206" i="1"/>
  <c r="AX206" i="1" s="1"/>
  <c r="AW206" i="1"/>
  <c r="BD206" i="1"/>
  <c r="BF206" i="1"/>
  <c r="BH206" i="1"/>
  <c r="AD206" i="1" s="1"/>
  <c r="BI206" i="1"/>
  <c r="AE206" i="1" s="1"/>
  <c r="BJ206" i="1"/>
  <c r="I208" i="1"/>
  <c r="J208" i="1"/>
  <c r="K208" i="1"/>
  <c r="AL208" i="1" s="1"/>
  <c r="Z208" i="1"/>
  <c r="AB208" i="1"/>
  <c r="AC208" i="1"/>
  <c r="AF208" i="1"/>
  <c r="AG208" i="1"/>
  <c r="AH208" i="1"/>
  <c r="AJ208" i="1"/>
  <c r="AK208" i="1"/>
  <c r="AO208" i="1"/>
  <c r="AW208" i="1" s="1"/>
  <c r="BC208" i="1" s="1"/>
  <c r="AP208" i="1"/>
  <c r="AV208" i="1"/>
  <c r="AX208" i="1"/>
  <c r="BD208" i="1"/>
  <c r="BF208" i="1"/>
  <c r="BH208" i="1"/>
  <c r="AD208" i="1" s="1"/>
  <c r="BI208" i="1"/>
  <c r="AE208" i="1" s="1"/>
  <c r="BJ208" i="1"/>
  <c r="I211" i="1"/>
  <c r="K211" i="1"/>
  <c r="Z211" i="1"/>
  <c r="AB211" i="1"/>
  <c r="AC211" i="1"/>
  <c r="AF211" i="1"/>
  <c r="AG211" i="1"/>
  <c r="AH211" i="1"/>
  <c r="AJ211" i="1"/>
  <c r="AK211" i="1"/>
  <c r="AL211" i="1"/>
  <c r="AO211" i="1"/>
  <c r="AP211" i="1"/>
  <c r="AW211" i="1"/>
  <c r="BD211" i="1"/>
  <c r="BF211" i="1"/>
  <c r="BH211" i="1"/>
  <c r="AD211" i="1" s="1"/>
  <c r="BJ211" i="1"/>
  <c r="K213" i="1"/>
  <c r="AL213" i="1" s="1"/>
  <c r="AB213" i="1"/>
  <c r="AC213" i="1"/>
  <c r="AD213" i="1"/>
  <c r="AE213" i="1"/>
  <c r="AF213" i="1"/>
  <c r="AG213" i="1"/>
  <c r="AH213" i="1"/>
  <c r="AJ213" i="1"/>
  <c r="AK213" i="1"/>
  <c r="AO213" i="1"/>
  <c r="BH213" i="1" s="1"/>
  <c r="AP213" i="1"/>
  <c r="J213" i="1" s="1"/>
  <c r="AX213" i="1"/>
  <c r="BD213" i="1"/>
  <c r="BF213" i="1"/>
  <c r="BI213" i="1"/>
  <c r="BJ213" i="1"/>
  <c r="Z213" i="1" s="1"/>
  <c r="I216" i="1"/>
  <c r="K216" i="1"/>
  <c r="Z216" i="1"/>
  <c r="AB216" i="1"/>
  <c r="AC216" i="1"/>
  <c r="AF216" i="1"/>
  <c r="AG216" i="1"/>
  <c r="AH216" i="1"/>
  <c r="AJ216" i="1"/>
  <c r="AS215" i="1" s="1"/>
  <c r="AK216" i="1"/>
  <c r="AL216" i="1"/>
  <c r="AO216" i="1"/>
  <c r="AP216" i="1"/>
  <c r="AW216" i="1"/>
  <c r="BD216" i="1"/>
  <c r="BF216" i="1"/>
  <c r="BH216" i="1"/>
  <c r="AD216" i="1" s="1"/>
  <c r="BJ216" i="1"/>
  <c r="K218" i="1"/>
  <c r="Z218" i="1"/>
  <c r="AB218" i="1"/>
  <c r="AC218" i="1"/>
  <c r="AF218" i="1"/>
  <c r="AG218" i="1"/>
  <c r="AH218" i="1"/>
  <c r="AJ218" i="1"/>
  <c r="AK218" i="1"/>
  <c r="AO218" i="1"/>
  <c r="AP218" i="1"/>
  <c r="J218" i="1" s="1"/>
  <c r="AX218" i="1"/>
  <c r="BD218" i="1"/>
  <c r="BF218" i="1"/>
  <c r="BH218" i="1"/>
  <c r="AD218" i="1" s="1"/>
  <c r="BI218" i="1"/>
  <c r="AE218" i="1" s="1"/>
  <c r="BJ218" i="1"/>
  <c r="J221" i="1"/>
  <c r="K221" i="1"/>
  <c r="Z221" i="1"/>
  <c r="AB221" i="1"/>
  <c r="AC221" i="1"/>
  <c r="AF221" i="1"/>
  <c r="AG221" i="1"/>
  <c r="AH221" i="1"/>
  <c r="AJ221" i="1"/>
  <c r="AK221" i="1"/>
  <c r="AL221" i="1"/>
  <c r="AO221" i="1"/>
  <c r="I221" i="1" s="1"/>
  <c r="AP221" i="1"/>
  <c r="AX221" i="1" s="1"/>
  <c r="AW221" i="1"/>
  <c r="BD221" i="1"/>
  <c r="BF221" i="1"/>
  <c r="BH221" i="1"/>
  <c r="AD221" i="1" s="1"/>
  <c r="BI221" i="1"/>
  <c r="AE221" i="1" s="1"/>
  <c r="BJ221" i="1"/>
  <c r="I223" i="1"/>
  <c r="J223" i="1"/>
  <c r="K223" i="1"/>
  <c r="AL223" i="1" s="1"/>
  <c r="AB223" i="1"/>
  <c r="AC223" i="1"/>
  <c r="AD223" i="1"/>
  <c r="AE223" i="1"/>
  <c r="AF223" i="1"/>
  <c r="AG223" i="1"/>
  <c r="AH223" i="1"/>
  <c r="AJ223" i="1"/>
  <c r="AK223" i="1"/>
  <c r="AO223" i="1"/>
  <c r="AW223" i="1" s="1"/>
  <c r="BC223" i="1" s="1"/>
  <c r="AP223" i="1"/>
  <c r="AV223" i="1"/>
  <c r="AX223" i="1"/>
  <c r="BD223" i="1"/>
  <c r="BF223" i="1"/>
  <c r="BH223" i="1"/>
  <c r="BI223" i="1"/>
  <c r="BJ223" i="1"/>
  <c r="Z223" i="1" s="1"/>
  <c r="J226" i="1"/>
  <c r="K226" i="1"/>
  <c r="K225" i="1" s="1"/>
  <c r="Z226" i="1"/>
  <c r="AB226" i="1"/>
  <c r="AC226" i="1"/>
  <c r="AF226" i="1"/>
  <c r="AG226" i="1"/>
  <c r="AH226" i="1"/>
  <c r="AJ226" i="1"/>
  <c r="AK226" i="1"/>
  <c r="AL226" i="1"/>
  <c r="AO226" i="1"/>
  <c r="I226" i="1" s="1"/>
  <c r="AP226" i="1"/>
  <c r="AX226" i="1" s="1"/>
  <c r="AW226" i="1"/>
  <c r="BD226" i="1"/>
  <c r="BF226" i="1"/>
  <c r="BH226" i="1"/>
  <c r="AD226" i="1" s="1"/>
  <c r="BI226" i="1"/>
  <c r="AE226" i="1" s="1"/>
  <c r="BJ226" i="1"/>
  <c r="I228" i="1"/>
  <c r="J228" i="1"/>
  <c r="K228" i="1"/>
  <c r="AL228" i="1" s="1"/>
  <c r="Z228" i="1"/>
  <c r="AB228" i="1"/>
  <c r="AC228" i="1"/>
  <c r="AF228" i="1"/>
  <c r="AG228" i="1"/>
  <c r="AH228" i="1"/>
  <c r="AJ228" i="1"/>
  <c r="AK228" i="1"/>
  <c r="AT225" i="1" s="1"/>
  <c r="AO228" i="1"/>
  <c r="AW228" i="1" s="1"/>
  <c r="BC228" i="1" s="1"/>
  <c r="AP228" i="1"/>
  <c r="AV228" i="1"/>
  <c r="AX228" i="1"/>
  <c r="BD228" i="1"/>
  <c r="BF228" i="1"/>
  <c r="BH228" i="1"/>
  <c r="AD228" i="1" s="1"/>
  <c r="BI228" i="1"/>
  <c r="AE228" i="1" s="1"/>
  <c r="BJ228" i="1"/>
  <c r="I230" i="1"/>
  <c r="K230" i="1"/>
  <c r="Z230" i="1"/>
  <c r="AB230" i="1"/>
  <c r="AC230" i="1"/>
  <c r="AD230" i="1"/>
  <c r="AE230" i="1"/>
  <c r="AF230" i="1"/>
  <c r="AG230" i="1"/>
  <c r="AH230" i="1"/>
  <c r="AJ230" i="1"/>
  <c r="AS225" i="1" s="1"/>
  <c r="AK230" i="1"/>
  <c r="AL230" i="1"/>
  <c r="AO230" i="1"/>
  <c r="AP230" i="1"/>
  <c r="AW230" i="1"/>
  <c r="BD230" i="1"/>
  <c r="BF230" i="1"/>
  <c r="BH230" i="1"/>
  <c r="BJ230" i="1"/>
  <c r="I233" i="1"/>
  <c r="J233" i="1"/>
  <c r="K233" i="1"/>
  <c r="Z233" i="1"/>
  <c r="AB233" i="1"/>
  <c r="AC233" i="1"/>
  <c r="AF233" i="1"/>
  <c r="AG233" i="1"/>
  <c r="AH233" i="1"/>
  <c r="AJ233" i="1"/>
  <c r="AK233" i="1"/>
  <c r="AT232" i="1" s="1"/>
  <c r="AL233" i="1"/>
  <c r="AO233" i="1"/>
  <c r="AP233" i="1"/>
  <c r="AV233" i="1"/>
  <c r="AW233" i="1"/>
  <c r="BC233" i="1" s="1"/>
  <c r="AX233" i="1"/>
  <c r="BD233" i="1"/>
  <c r="BF233" i="1"/>
  <c r="BH233" i="1"/>
  <c r="AD233" i="1" s="1"/>
  <c r="BI233" i="1"/>
  <c r="AE233" i="1" s="1"/>
  <c r="BJ233" i="1"/>
  <c r="I239" i="1"/>
  <c r="K239" i="1"/>
  <c r="Z239" i="1"/>
  <c r="AB239" i="1"/>
  <c r="AC239" i="1"/>
  <c r="AF239" i="1"/>
  <c r="AG239" i="1"/>
  <c r="AH239" i="1"/>
  <c r="AJ239" i="1"/>
  <c r="AS232" i="1" s="1"/>
  <c r="AK239" i="1"/>
  <c r="AL239" i="1"/>
  <c r="AO239" i="1"/>
  <c r="AP239" i="1"/>
  <c r="AW239" i="1"/>
  <c r="BD239" i="1"/>
  <c r="BF239" i="1"/>
  <c r="BH239" i="1"/>
  <c r="AD239" i="1" s="1"/>
  <c r="BJ239" i="1"/>
  <c r="K241" i="1"/>
  <c r="AL241" i="1" s="1"/>
  <c r="Z241" i="1"/>
  <c r="AB241" i="1"/>
  <c r="AC241" i="1"/>
  <c r="AF241" i="1"/>
  <c r="AG241" i="1"/>
  <c r="AH241" i="1"/>
  <c r="AJ241" i="1"/>
  <c r="AK241" i="1"/>
  <c r="AO241" i="1"/>
  <c r="AP241" i="1"/>
  <c r="J241" i="1" s="1"/>
  <c r="AX241" i="1"/>
  <c r="BD241" i="1"/>
  <c r="BF241" i="1"/>
  <c r="BH241" i="1"/>
  <c r="AD241" i="1" s="1"/>
  <c r="BI241" i="1"/>
  <c r="AE241" i="1" s="1"/>
  <c r="BJ241" i="1"/>
  <c r="J244" i="1"/>
  <c r="K244" i="1"/>
  <c r="Z244" i="1"/>
  <c r="AB244" i="1"/>
  <c r="AC244" i="1"/>
  <c r="AF244" i="1"/>
  <c r="AG244" i="1"/>
  <c r="AH244" i="1"/>
  <c r="AJ244" i="1"/>
  <c r="AK244" i="1"/>
  <c r="AL244" i="1"/>
  <c r="AO244" i="1"/>
  <c r="I244" i="1" s="1"/>
  <c r="AP244" i="1"/>
  <c r="AW244" i="1"/>
  <c r="AX244" i="1"/>
  <c r="BD244" i="1"/>
  <c r="BF244" i="1"/>
  <c r="BH244" i="1"/>
  <c r="AD244" i="1" s="1"/>
  <c r="BI244" i="1"/>
  <c r="AE244" i="1" s="1"/>
  <c r="BJ244" i="1"/>
  <c r="I250" i="1"/>
  <c r="J250" i="1"/>
  <c r="K250" i="1"/>
  <c r="Z250" i="1"/>
  <c r="AB250" i="1"/>
  <c r="AC250" i="1"/>
  <c r="AF250" i="1"/>
  <c r="AG250" i="1"/>
  <c r="AH250" i="1"/>
  <c r="AJ250" i="1"/>
  <c r="AK250" i="1"/>
  <c r="AL250" i="1"/>
  <c r="AO250" i="1"/>
  <c r="AP250" i="1"/>
  <c r="AV250" i="1"/>
  <c r="AW250" i="1"/>
  <c r="BC250" i="1" s="1"/>
  <c r="AX250" i="1"/>
  <c r="BD250" i="1"/>
  <c r="BF250" i="1"/>
  <c r="BH250" i="1"/>
  <c r="AD250" i="1" s="1"/>
  <c r="BI250" i="1"/>
  <c r="AE250" i="1" s="1"/>
  <c r="BJ250" i="1"/>
  <c r="I253" i="1"/>
  <c r="K253" i="1"/>
  <c r="Z253" i="1"/>
  <c r="AB253" i="1"/>
  <c r="AC253" i="1"/>
  <c r="AD253" i="1"/>
  <c r="AE253" i="1"/>
  <c r="AF253" i="1"/>
  <c r="AG253" i="1"/>
  <c r="AH253" i="1"/>
  <c r="AJ253" i="1"/>
  <c r="AK253" i="1"/>
  <c r="AL253" i="1"/>
  <c r="AO253" i="1"/>
  <c r="AP253" i="1"/>
  <c r="AW253" i="1"/>
  <c r="BD253" i="1"/>
  <c r="BF253" i="1"/>
  <c r="BH253" i="1"/>
  <c r="BI253" i="1"/>
  <c r="BJ253" i="1"/>
  <c r="K255" i="1"/>
  <c r="AS255" i="1"/>
  <c r="I256" i="1"/>
  <c r="I255" i="1" s="1"/>
  <c r="J256" i="1"/>
  <c r="J255" i="1" s="1"/>
  <c r="K256" i="1"/>
  <c r="Z256" i="1"/>
  <c r="AB256" i="1"/>
  <c r="AC256" i="1"/>
  <c r="AF256" i="1"/>
  <c r="AG256" i="1"/>
  <c r="AH256" i="1"/>
  <c r="AJ256" i="1"/>
  <c r="AK256" i="1"/>
  <c r="AT255" i="1" s="1"/>
  <c r="AL256" i="1"/>
  <c r="AU255" i="1" s="1"/>
  <c r="AO256" i="1"/>
  <c r="AP256" i="1"/>
  <c r="AV256" i="1"/>
  <c r="AW256" i="1"/>
  <c r="BC256" i="1" s="1"/>
  <c r="AX256" i="1"/>
  <c r="BD256" i="1"/>
  <c r="BF256" i="1"/>
  <c r="BH256" i="1"/>
  <c r="AD256" i="1" s="1"/>
  <c r="BI256" i="1"/>
  <c r="AE256" i="1" s="1"/>
  <c r="BJ256" i="1"/>
  <c r="J259" i="1"/>
  <c r="K259" i="1"/>
  <c r="Z259" i="1"/>
  <c r="AB259" i="1"/>
  <c r="AC259" i="1"/>
  <c r="AF259" i="1"/>
  <c r="AG259" i="1"/>
  <c r="AH259" i="1"/>
  <c r="AJ259" i="1"/>
  <c r="AK259" i="1"/>
  <c r="AL259" i="1"/>
  <c r="AO259" i="1"/>
  <c r="I259" i="1" s="1"/>
  <c r="AP259" i="1"/>
  <c r="AW259" i="1"/>
  <c r="AX259" i="1"/>
  <c r="BD259" i="1"/>
  <c r="BF259" i="1"/>
  <c r="BH259" i="1"/>
  <c r="AD259" i="1" s="1"/>
  <c r="BI259" i="1"/>
  <c r="AE259" i="1" s="1"/>
  <c r="BJ259" i="1"/>
  <c r="I266" i="1"/>
  <c r="J266" i="1"/>
  <c r="K266" i="1"/>
  <c r="Z266" i="1"/>
  <c r="AB266" i="1"/>
  <c r="AC266" i="1"/>
  <c r="AF266" i="1"/>
  <c r="AG266" i="1"/>
  <c r="AH266" i="1"/>
  <c r="AJ266" i="1"/>
  <c r="AK266" i="1"/>
  <c r="AT258" i="1" s="1"/>
  <c r="AL266" i="1"/>
  <c r="AO266" i="1"/>
  <c r="AP266" i="1"/>
  <c r="AV266" i="1"/>
  <c r="AW266" i="1"/>
  <c r="BC266" i="1" s="1"/>
  <c r="AX266" i="1"/>
  <c r="BD266" i="1"/>
  <c r="BF266" i="1"/>
  <c r="BH266" i="1"/>
  <c r="AD266" i="1" s="1"/>
  <c r="BI266" i="1"/>
  <c r="AE266" i="1" s="1"/>
  <c r="BJ266" i="1"/>
  <c r="I268" i="1"/>
  <c r="K268" i="1"/>
  <c r="Z268" i="1"/>
  <c r="AB268" i="1"/>
  <c r="AC268" i="1"/>
  <c r="AF268" i="1"/>
  <c r="AG268" i="1"/>
  <c r="AH268" i="1"/>
  <c r="AJ268" i="1"/>
  <c r="AS258" i="1" s="1"/>
  <c r="AK268" i="1"/>
  <c r="AL268" i="1"/>
  <c r="AO268" i="1"/>
  <c r="AP268" i="1"/>
  <c r="AW268" i="1"/>
  <c r="BD268" i="1"/>
  <c r="BF268" i="1"/>
  <c r="BH268" i="1"/>
  <c r="AD268" i="1" s="1"/>
  <c r="BI268" i="1"/>
  <c r="AE268" i="1" s="1"/>
  <c r="BJ268" i="1"/>
  <c r="K270" i="1"/>
  <c r="AL270" i="1" s="1"/>
  <c r="Z270" i="1"/>
  <c r="AB270" i="1"/>
  <c r="AC270" i="1"/>
  <c r="AF270" i="1"/>
  <c r="AG270" i="1"/>
  <c r="AH270" i="1"/>
  <c r="AJ270" i="1"/>
  <c r="AK270" i="1"/>
  <c r="AO270" i="1"/>
  <c r="AP270" i="1"/>
  <c r="J270" i="1" s="1"/>
  <c r="AX270" i="1"/>
  <c r="BD270" i="1"/>
  <c r="BF270" i="1"/>
  <c r="BI270" i="1"/>
  <c r="AE270" i="1" s="1"/>
  <c r="BJ270" i="1"/>
  <c r="J272" i="1"/>
  <c r="K272" i="1"/>
  <c r="Z272" i="1"/>
  <c r="AB272" i="1"/>
  <c r="AC272" i="1"/>
  <c r="AF272" i="1"/>
  <c r="AG272" i="1"/>
  <c r="AH272" i="1"/>
  <c r="AJ272" i="1"/>
  <c r="AK272" i="1"/>
  <c r="AL272" i="1"/>
  <c r="AO272" i="1"/>
  <c r="I272" i="1" s="1"/>
  <c r="AP272" i="1"/>
  <c r="AW272" i="1"/>
  <c r="AX272" i="1"/>
  <c r="BD272" i="1"/>
  <c r="BF272" i="1"/>
  <c r="BH272" i="1"/>
  <c r="AD272" i="1" s="1"/>
  <c r="BI272" i="1"/>
  <c r="AE272" i="1" s="1"/>
  <c r="BJ272" i="1"/>
  <c r="I274" i="1"/>
  <c r="J274" i="1"/>
  <c r="K274" i="1"/>
  <c r="Z274" i="1"/>
  <c r="AB274" i="1"/>
  <c r="AC274" i="1"/>
  <c r="AF274" i="1"/>
  <c r="AG274" i="1"/>
  <c r="AH274" i="1"/>
  <c r="AJ274" i="1"/>
  <c r="AK274" i="1"/>
  <c r="AL274" i="1"/>
  <c r="AO274" i="1"/>
  <c r="AP274" i="1"/>
  <c r="AV274" i="1"/>
  <c r="AW274" i="1"/>
  <c r="BC274" i="1" s="1"/>
  <c r="AX274" i="1"/>
  <c r="BD274" i="1"/>
  <c r="BF274" i="1"/>
  <c r="BH274" i="1"/>
  <c r="AD274" i="1" s="1"/>
  <c r="BI274" i="1"/>
  <c r="AE274" i="1" s="1"/>
  <c r="BJ274" i="1"/>
  <c r="I276" i="1"/>
  <c r="K276" i="1"/>
  <c r="Z276" i="1"/>
  <c r="AB276" i="1"/>
  <c r="AC276" i="1"/>
  <c r="AF276" i="1"/>
  <c r="AG276" i="1"/>
  <c r="AH276" i="1"/>
  <c r="AJ276" i="1"/>
  <c r="AK276" i="1"/>
  <c r="AL276" i="1"/>
  <c r="AO276" i="1"/>
  <c r="AP276" i="1"/>
  <c r="AW276" i="1"/>
  <c r="BD276" i="1"/>
  <c r="BF276" i="1"/>
  <c r="BH276" i="1"/>
  <c r="AD276" i="1" s="1"/>
  <c r="BJ276" i="1"/>
  <c r="K278" i="1"/>
  <c r="AL278" i="1" s="1"/>
  <c r="Z278" i="1"/>
  <c r="AB278" i="1"/>
  <c r="AC278" i="1"/>
  <c r="AD278" i="1"/>
  <c r="AE278" i="1"/>
  <c r="AF278" i="1"/>
  <c r="AG278" i="1"/>
  <c r="AH278" i="1"/>
  <c r="AJ278" i="1"/>
  <c r="AK278" i="1"/>
  <c r="AO278" i="1"/>
  <c r="AP278" i="1"/>
  <c r="J278" i="1" s="1"/>
  <c r="AX278" i="1"/>
  <c r="BD278" i="1"/>
  <c r="BF278" i="1"/>
  <c r="BH278" i="1"/>
  <c r="BI278" i="1"/>
  <c r="BJ278" i="1"/>
  <c r="I281" i="1"/>
  <c r="K281" i="1"/>
  <c r="Z281" i="1"/>
  <c r="AB281" i="1"/>
  <c r="AC281" i="1"/>
  <c r="AF281" i="1"/>
  <c r="AG281" i="1"/>
  <c r="AH281" i="1"/>
  <c r="AJ281" i="1"/>
  <c r="AS280" i="1" s="1"/>
  <c r="AK281" i="1"/>
  <c r="AL281" i="1"/>
  <c r="AO281" i="1"/>
  <c r="AP281" i="1"/>
  <c r="AW281" i="1"/>
  <c r="BD281" i="1"/>
  <c r="BF281" i="1"/>
  <c r="BH281" i="1"/>
  <c r="AD281" i="1" s="1"/>
  <c r="BI281" i="1"/>
  <c r="AE281" i="1" s="1"/>
  <c r="BJ281" i="1"/>
  <c r="K283" i="1"/>
  <c r="Z283" i="1"/>
  <c r="AB283" i="1"/>
  <c r="AC283" i="1"/>
  <c r="AF283" i="1"/>
  <c r="AG283" i="1"/>
  <c r="AH283" i="1"/>
  <c r="AJ283" i="1"/>
  <c r="AK283" i="1"/>
  <c r="AO283" i="1"/>
  <c r="AP283" i="1"/>
  <c r="J283" i="1" s="1"/>
  <c r="AX283" i="1"/>
  <c r="BD283" i="1"/>
  <c r="BF283" i="1"/>
  <c r="BI283" i="1"/>
  <c r="AE283" i="1" s="1"/>
  <c r="BJ283" i="1"/>
  <c r="J285" i="1"/>
  <c r="K285" i="1"/>
  <c r="Z285" i="1"/>
  <c r="AB285" i="1"/>
  <c r="AC285" i="1"/>
  <c r="AF285" i="1"/>
  <c r="AG285" i="1"/>
  <c r="AH285" i="1"/>
  <c r="AJ285" i="1"/>
  <c r="AK285" i="1"/>
  <c r="AL285" i="1"/>
  <c r="AO285" i="1"/>
  <c r="I285" i="1" s="1"/>
  <c r="AP285" i="1"/>
  <c r="AW285" i="1"/>
  <c r="AX285" i="1"/>
  <c r="BD285" i="1"/>
  <c r="BF285" i="1"/>
  <c r="BH285" i="1"/>
  <c r="AD285" i="1" s="1"/>
  <c r="BI285" i="1"/>
  <c r="AE285" i="1" s="1"/>
  <c r="BJ285" i="1"/>
  <c r="I287" i="1"/>
  <c r="J287" i="1"/>
  <c r="K287" i="1"/>
  <c r="AB287" i="1"/>
  <c r="AC287" i="1"/>
  <c r="AD287" i="1"/>
  <c r="AE287" i="1"/>
  <c r="AF287" i="1"/>
  <c r="AG287" i="1"/>
  <c r="AH287" i="1"/>
  <c r="AJ287" i="1"/>
  <c r="AK287" i="1"/>
  <c r="AL287" i="1"/>
  <c r="AO287" i="1"/>
  <c r="AP287" i="1"/>
  <c r="AV287" i="1"/>
  <c r="AW287" i="1"/>
  <c r="BC287" i="1" s="1"/>
  <c r="AX287" i="1"/>
  <c r="BD287" i="1"/>
  <c r="BF287" i="1"/>
  <c r="BH287" i="1"/>
  <c r="BI287" i="1"/>
  <c r="BJ287" i="1"/>
  <c r="Z287" i="1" s="1"/>
  <c r="AS289" i="1"/>
  <c r="AT289" i="1"/>
  <c r="J290" i="1"/>
  <c r="J289" i="1" s="1"/>
  <c r="K290" i="1"/>
  <c r="K289" i="1" s="1"/>
  <c r="Z290" i="1"/>
  <c r="AB290" i="1"/>
  <c r="AC290" i="1"/>
  <c r="AF290" i="1"/>
  <c r="AG290" i="1"/>
  <c r="AH290" i="1"/>
  <c r="AJ290" i="1"/>
  <c r="AK290" i="1"/>
  <c r="AL290" i="1"/>
  <c r="AU289" i="1" s="1"/>
  <c r="AO290" i="1"/>
  <c r="I290" i="1" s="1"/>
  <c r="I289" i="1" s="1"/>
  <c r="AP290" i="1"/>
  <c r="AW290" i="1"/>
  <c r="AX290" i="1"/>
  <c r="BD290" i="1"/>
  <c r="BF290" i="1"/>
  <c r="BH290" i="1"/>
  <c r="AD290" i="1" s="1"/>
  <c r="BI290" i="1"/>
  <c r="AE290" i="1" s="1"/>
  <c r="BJ290" i="1"/>
  <c r="K293" i="1"/>
  <c r="Z293" i="1"/>
  <c r="AD293" i="1"/>
  <c r="AE293" i="1"/>
  <c r="AF293" i="1"/>
  <c r="AG293" i="1"/>
  <c r="AH293" i="1"/>
  <c r="AJ293" i="1"/>
  <c r="AK293" i="1"/>
  <c r="AO293" i="1"/>
  <c r="AP293" i="1"/>
  <c r="J293" i="1" s="1"/>
  <c r="AX293" i="1"/>
  <c r="BD293" i="1"/>
  <c r="BF293" i="1"/>
  <c r="BI293" i="1"/>
  <c r="AC293" i="1" s="1"/>
  <c r="BJ293" i="1"/>
  <c r="J296" i="1"/>
  <c r="K296" i="1"/>
  <c r="Z296" i="1"/>
  <c r="AC296" i="1"/>
  <c r="AD296" i="1"/>
  <c r="AE296" i="1"/>
  <c r="AF296" i="1"/>
  <c r="AG296" i="1"/>
  <c r="AH296" i="1"/>
  <c r="AJ296" i="1"/>
  <c r="AK296" i="1"/>
  <c r="AL296" i="1"/>
  <c r="AO296" i="1"/>
  <c r="I296" i="1" s="1"/>
  <c r="AP296" i="1"/>
  <c r="AW296" i="1"/>
  <c r="AX296" i="1"/>
  <c r="BD296" i="1"/>
  <c r="BF296" i="1"/>
  <c r="BH296" i="1"/>
  <c r="AB296" i="1" s="1"/>
  <c r="BI296" i="1"/>
  <c r="BJ296" i="1"/>
  <c r="I298" i="1"/>
  <c r="J298" i="1"/>
  <c r="K298" i="1"/>
  <c r="Z298" i="1"/>
  <c r="AB298" i="1"/>
  <c r="AC298" i="1"/>
  <c r="AD298" i="1"/>
  <c r="AE298" i="1"/>
  <c r="AF298" i="1"/>
  <c r="AG298" i="1"/>
  <c r="AH298" i="1"/>
  <c r="AJ298" i="1"/>
  <c r="AK298" i="1"/>
  <c r="AT292" i="1" s="1"/>
  <c r="AL298" i="1"/>
  <c r="AO298" i="1"/>
  <c r="AP298" i="1"/>
  <c r="AV298" i="1"/>
  <c r="AW298" i="1"/>
  <c r="BC298" i="1" s="1"/>
  <c r="AX298" i="1"/>
  <c r="BD298" i="1"/>
  <c r="BF298" i="1"/>
  <c r="BH298" i="1"/>
  <c r="BI298" i="1"/>
  <c r="BJ298" i="1"/>
  <c r="I300" i="1"/>
  <c r="K300" i="1"/>
  <c r="Z300" i="1"/>
  <c r="AB300" i="1"/>
  <c r="AD300" i="1"/>
  <c r="AE300" i="1"/>
  <c r="AF300" i="1"/>
  <c r="AG300" i="1"/>
  <c r="AH300" i="1"/>
  <c r="AJ300" i="1"/>
  <c r="AK300" i="1"/>
  <c r="AL300" i="1"/>
  <c r="AO300" i="1"/>
  <c r="AP300" i="1"/>
  <c r="AW300" i="1"/>
  <c r="BD300" i="1"/>
  <c r="BF300" i="1"/>
  <c r="BH300" i="1"/>
  <c r="BI300" i="1"/>
  <c r="AC300" i="1" s="1"/>
  <c r="BJ300" i="1"/>
  <c r="K302" i="1"/>
  <c r="AL302" i="1" s="1"/>
  <c r="Z302" i="1"/>
  <c r="AD302" i="1"/>
  <c r="AE302" i="1"/>
  <c r="AF302" i="1"/>
  <c r="AG302" i="1"/>
  <c r="AH302" i="1"/>
  <c r="AJ302" i="1"/>
  <c r="AK302" i="1"/>
  <c r="AO302" i="1"/>
  <c r="AP302" i="1"/>
  <c r="J302" i="1" s="1"/>
  <c r="BD302" i="1"/>
  <c r="BF302" i="1"/>
  <c r="BJ302" i="1"/>
  <c r="J304" i="1"/>
  <c r="K304" i="1"/>
  <c r="Z304" i="1"/>
  <c r="AC304" i="1"/>
  <c r="AD304" i="1"/>
  <c r="AE304" i="1"/>
  <c r="AF304" i="1"/>
  <c r="AG304" i="1"/>
  <c r="AH304" i="1"/>
  <c r="AJ304" i="1"/>
  <c r="AK304" i="1"/>
  <c r="AL304" i="1"/>
  <c r="AO304" i="1"/>
  <c r="I304" i="1" s="1"/>
  <c r="AP304" i="1"/>
  <c r="AX304" i="1"/>
  <c r="BD304" i="1"/>
  <c r="BF304" i="1"/>
  <c r="BI304" i="1"/>
  <c r="BJ304" i="1"/>
  <c r="I306" i="1"/>
  <c r="J306" i="1"/>
  <c r="K306" i="1"/>
  <c r="AB306" i="1"/>
  <c r="AC306" i="1"/>
  <c r="AD306" i="1"/>
  <c r="AE306" i="1"/>
  <c r="AF306" i="1"/>
  <c r="AG306" i="1"/>
  <c r="AH306" i="1"/>
  <c r="AJ306" i="1"/>
  <c r="AK306" i="1"/>
  <c r="AL306" i="1"/>
  <c r="AO306" i="1"/>
  <c r="AP306" i="1"/>
  <c r="AV306" i="1"/>
  <c r="AW306" i="1"/>
  <c r="BC306" i="1" s="1"/>
  <c r="AX306" i="1"/>
  <c r="BD306" i="1"/>
  <c r="BF306" i="1"/>
  <c r="BH306" i="1"/>
  <c r="BI306" i="1"/>
  <c r="BJ306" i="1"/>
  <c r="Z306" i="1" s="1"/>
  <c r="J309" i="1"/>
  <c r="K309" i="1"/>
  <c r="K308" i="1" s="1"/>
  <c r="Z309" i="1"/>
  <c r="AC309" i="1"/>
  <c r="AD309" i="1"/>
  <c r="AE309" i="1"/>
  <c r="AF309" i="1"/>
  <c r="AG309" i="1"/>
  <c r="AH309" i="1"/>
  <c r="AJ309" i="1"/>
  <c r="AK309" i="1"/>
  <c r="AO309" i="1"/>
  <c r="I309" i="1" s="1"/>
  <c r="AP309" i="1"/>
  <c r="AX309" i="1"/>
  <c r="BD309" i="1"/>
  <c r="BF309" i="1"/>
  <c r="BI309" i="1"/>
  <c r="BJ309" i="1"/>
  <c r="I311" i="1"/>
  <c r="J311" i="1"/>
  <c r="K311" i="1"/>
  <c r="Z311" i="1"/>
  <c r="AB311" i="1"/>
  <c r="AC311" i="1"/>
  <c r="AD311" i="1"/>
  <c r="AE311" i="1"/>
  <c r="AF311" i="1"/>
  <c r="AG311" i="1"/>
  <c r="AH311" i="1"/>
  <c r="AJ311" i="1"/>
  <c r="AK311" i="1"/>
  <c r="AT308" i="1" s="1"/>
  <c r="AL311" i="1"/>
  <c r="AO311" i="1"/>
  <c r="AP311" i="1"/>
  <c r="AV311" i="1"/>
  <c r="AW311" i="1"/>
  <c r="BC311" i="1" s="1"/>
  <c r="AX311" i="1"/>
  <c r="BD311" i="1"/>
  <c r="BF311" i="1"/>
  <c r="BH311" i="1"/>
  <c r="BI311" i="1"/>
  <c r="BJ311" i="1"/>
  <c r="I313" i="1"/>
  <c r="K313" i="1"/>
  <c r="Z313" i="1"/>
  <c r="AB313" i="1"/>
  <c r="AD313" i="1"/>
  <c r="AE313" i="1"/>
  <c r="AF313" i="1"/>
  <c r="AG313" i="1"/>
  <c r="AH313" i="1"/>
  <c r="AJ313" i="1"/>
  <c r="AS308" i="1" s="1"/>
  <c r="AK313" i="1"/>
  <c r="AL313" i="1"/>
  <c r="AO313" i="1"/>
  <c r="AP313" i="1"/>
  <c r="AW313" i="1"/>
  <c r="BD313" i="1"/>
  <c r="BF313" i="1"/>
  <c r="BH313" i="1"/>
  <c r="BI313" i="1"/>
  <c r="AC313" i="1" s="1"/>
  <c r="BJ313" i="1"/>
  <c r="K315" i="1"/>
  <c r="AL315" i="1" s="1"/>
  <c r="Z315" i="1"/>
  <c r="AD315" i="1"/>
  <c r="AE315" i="1"/>
  <c r="AF315" i="1"/>
  <c r="AG315" i="1"/>
  <c r="AH315" i="1"/>
  <c r="AJ315" i="1"/>
  <c r="AK315" i="1"/>
  <c r="AO315" i="1"/>
  <c r="AP315" i="1"/>
  <c r="J315" i="1" s="1"/>
  <c r="BD315" i="1"/>
  <c r="BF315" i="1"/>
  <c r="BJ315" i="1"/>
  <c r="J320" i="1"/>
  <c r="K320" i="1"/>
  <c r="Z320" i="1"/>
  <c r="AC320" i="1"/>
  <c r="AD320" i="1"/>
  <c r="AE320" i="1"/>
  <c r="AF320" i="1"/>
  <c r="AG320" i="1"/>
  <c r="AH320" i="1"/>
  <c r="AJ320" i="1"/>
  <c r="AK320" i="1"/>
  <c r="AL320" i="1"/>
  <c r="AO320" i="1"/>
  <c r="I320" i="1" s="1"/>
  <c r="AP320" i="1"/>
  <c r="AX320" i="1"/>
  <c r="BD320" i="1"/>
  <c r="BF320" i="1"/>
  <c r="BI320" i="1"/>
  <c r="BJ320" i="1"/>
  <c r="K323" i="1"/>
  <c r="Z323" i="1"/>
  <c r="AD323" i="1"/>
  <c r="AE323" i="1"/>
  <c r="AF323" i="1"/>
  <c r="AG323" i="1"/>
  <c r="AH323" i="1"/>
  <c r="AJ323" i="1"/>
  <c r="AK323" i="1"/>
  <c r="AO323" i="1"/>
  <c r="AP323" i="1"/>
  <c r="J323" i="1" s="1"/>
  <c r="BD323" i="1"/>
  <c r="BF323" i="1"/>
  <c r="BH323" i="1"/>
  <c r="AB323" i="1" s="1"/>
  <c r="BJ323" i="1"/>
  <c r="J325" i="1"/>
  <c r="K325" i="1"/>
  <c r="AL325" i="1" s="1"/>
  <c r="Z325" i="1"/>
  <c r="AC325" i="1"/>
  <c r="AD325" i="1"/>
  <c r="AE325" i="1"/>
  <c r="AF325" i="1"/>
  <c r="AG325" i="1"/>
  <c r="AH325" i="1"/>
  <c r="AJ325" i="1"/>
  <c r="AK325" i="1"/>
  <c r="AO325" i="1"/>
  <c r="I325" i="1" s="1"/>
  <c r="AP325" i="1"/>
  <c r="AX325" i="1"/>
  <c r="BD325" i="1"/>
  <c r="BF325" i="1"/>
  <c r="BI325" i="1"/>
  <c r="BJ325" i="1"/>
  <c r="I330" i="1"/>
  <c r="J330" i="1"/>
  <c r="K330" i="1"/>
  <c r="Z330" i="1"/>
  <c r="AB330" i="1"/>
  <c r="AC330" i="1"/>
  <c r="AD330" i="1"/>
  <c r="AE330" i="1"/>
  <c r="AF330" i="1"/>
  <c r="AG330" i="1"/>
  <c r="AH330" i="1"/>
  <c r="AJ330" i="1"/>
  <c r="AK330" i="1"/>
  <c r="AL330" i="1"/>
  <c r="AO330" i="1"/>
  <c r="AP330" i="1"/>
  <c r="AV330" i="1"/>
  <c r="AW330" i="1"/>
  <c r="BC330" i="1" s="1"/>
  <c r="AX330" i="1"/>
  <c r="BD330" i="1"/>
  <c r="BF330" i="1"/>
  <c r="BH330" i="1"/>
  <c r="BI330" i="1"/>
  <c r="BJ330" i="1"/>
  <c r="I334" i="1"/>
  <c r="K334" i="1"/>
  <c r="Z334" i="1"/>
  <c r="AB334" i="1"/>
  <c r="AD334" i="1"/>
  <c r="AE334" i="1"/>
  <c r="AF334" i="1"/>
  <c r="AG334" i="1"/>
  <c r="AH334" i="1"/>
  <c r="AJ334" i="1"/>
  <c r="AK334" i="1"/>
  <c r="AL334" i="1"/>
  <c r="AO334" i="1"/>
  <c r="AP334" i="1"/>
  <c r="AW334" i="1"/>
  <c r="BD334" i="1"/>
  <c r="BF334" i="1"/>
  <c r="BH334" i="1"/>
  <c r="BI334" i="1"/>
  <c r="AC334" i="1" s="1"/>
  <c r="BJ334" i="1"/>
  <c r="K336" i="1"/>
  <c r="AL336" i="1" s="1"/>
  <c r="Z336" i="1"/>
  <c r="AD336" i="1"/>
  <c r="AE336" i="1"/>
  <c r="AF336" i="1"/>
  <c r="AG336" i="1"/>
  <c r="AH336" i="1"/>
  <c r="AJ336" i="1"/>
  <c r="AK336" i="1"/>
  <c r="AO336" i="1"/>
  <c r="AW336" i="1" s="1"/>
  <c r="AP336" i="1"/>
  <c r="J336" i="1" s="1"/>
  <c r="AV336" i="1"/>
  <c r="AX336" i="1"/>
  <c r="BC336" i="1" s="1"/>
  <c r="BD336" i="1"/>
  <c r="BF336" i="1"/>
  <c r="BH336" i="1"/>
  <c r="AB336" i="1" s="1"/>
  <c r="BI336" i="1"/>
  <c r="AC336" i="1" s="1"/>
  <c r="BJ336" i="1"/>
  <c r="J338" i="1"/>
  <c r="K338" i="1"/>
  <c r="AL338" i="1" s="1"/>
  <c r="Z338" i="1"/>
  <c r="AD338" i="1"/>
  <c r="AE338" i="1"/>
  <c r="AF338" i="1"/>
  <c r="AG338" i="1"/>
  <c r="AH338" i="1"/>
  <c r="AJ338" i="1"/>
  <c r="AK338" i="1"/>
  <c r="AO338" i="1"/>
  <c r="I338" i="1" s="1"/>
  <c r="AP338" i="1"/>
  <c r="AX338" i="1" s="1"/>
  <c r="BD338" i="1"/>
  <c r="BF338" i="1"/>
  <c r="BI338" i="1"/>
  <c r="AC338" i="1" s="1"/>
  <c r="BJ338" i="1"/>
  <c r="J340" i="1"/>
  <c r="K340" i="1"/>
  <c r="AL340" i="1" s="1"/>
  <c r="Z340" i="1"/>
  <c r="AC340" i="1"/>
  <c r="AD340" i="1"/>
  <c r="AE340" i="1"/>
  <c r="AF340" i="1"/>
  <c r="AG340" i="1"/>
  <c r="AH340" i="1"/>
  <c r="AJ340" i="1"/>
  <c r="AK340" i="1"/>
  <c r="AO340" i="1"/>
  <c r="I340" i="1" s="1"/>
  <c r="AP340" i="1"/>
  <c r="AX340" i="1"/>
  <c r="BD340" i="1"/>
  <c r="BF340" i="1"/>
  <c r="BI340" i="1"/>
  <c r="BJ340" i="1"/>
  <c r="I342" i="1"/>
  <c r="K342" i="1"/>
  <c r="Z342" i="1"/>
  <c r="AB342" i="1"/>
  <c r="AD342" i="1"/>
  <c r="AE342" i="1"/>
  <c r="AF342" i="1"/>
  <c r="AG342" i="1"/>
  <c r="AH342" i="1"/>
  <c r="AJ342" i="1"/>
  <c r="AK342" i="1"/>
  <c r="AL342" i="1"/>
  <c r="AO342" i="1"/>
  <c r="AP342" i="1"/>
  <c r="AX342" i="1" s="1"/>
  <c r="AV342" i="1" s="1"/>
  <c r="AW342" i="1"/>
  <c r="BC342" i="1"/>
  <c r="BD342" i="1"/>
  <c r="BF342" i="1"/>
  <c r="BH342" i="1"/>
  <c r="BI342" i="1"/>
  <c r="AC342" i="1" s="1"/>
  <c r="BJ342" i="1"/>
  <c r="K346" i="1"/>
  <c r="Z346" i="1"/>
  <c r="AB346" i="1"/>
  <c r="AD346" i="1"/>
  <c r="AE346" i="1"/>
  <c r="AF346" i="1"/>
  <c r="AG346" i="1"/>
  <c r="AH346" i="1"/>
  <c r="AJ346" i="1"/>
  <c r="AK346" i="1"/>
  <c r="AT322" i="1" s="1"/>
  <c r="AL346" i="1"/>
  <c r="AO346" i="1"/>
  <c r="I346" i="1" s="1"/>
  <c r="AP346" i="1"/>
  <c r="J346" i="1" s="1"/>
  <c r="AV346" i="1"/>
  <c r="AW346" i="1"/>
  <c r="BC346" i="1" s="1"/>
  <c r="AX346" i="1"/>
  <c r="BD346" i="1"/>
  <c r="BF346" i="1"/>
  <c r="BH346" i="1"/>
  <c r="BI346" i="1"/>
  <c r="AC346" i="1" s="1"/>
  <c r="BJ346" i="1"/>
  <c r="AS348" i="1"/>
  <c r="AT348" i="1"/>
  <c r="J349" i="1"/>
  <c r="J348" i="1" s="1"/>
  <c r="K349" i="1"/>
  <c r="K348" i="1" s="1"/>
  <c r="Z349" i="1"/>
  <c r="AC349" i="1"/>
  <c r="AD349" i="1"/>
  <c r="AE349" i="1"/>
  <c r="AF349" i="1"/>
  <c r="AG349" i="1"/>
  <c r="AH349" i="1"/>
  <c r="AJ349" i="1"/>
  <c r="AK349" i="1"/>
  <c r="AL349" i="1"/>
  <c r="AU348" i="1" s="1"/>
  <c r="AO349" i="1"/>
  <c r="I349" i="1" s="1"/>
  <c r="I348" i="1" s="1"/>
  <c r="AP349" i="1"/>
  <c r="AW349" i="1"/>
  <c r="BC349" i="1" s="1"/>
  <c r="AX349" i="1"/>
  <c r="BD349" i="1"/>
  <c r="BF349" i="1"/>
  <c r="BH349" i="1"/>
  <c r="AB349" i="1" s="1"/>
  <c r="BI349" i="1"/>
  <c r="BJ349" i="1"/>
  <c r="AT351" i="1"/>
  <c r="K352" i="1"/>
  <c r="K351" i="1" s="1"/>
  <c r="Z352" i="1"/>
  <c r="AB352" i="1"/>
  <c r="AC352" i="1"/>
  <c r="AD352" i="1"/>
  <c r="AE352" i="1"/>
  <c r="AF352" i="1"/>
  <c r="AG352" i="1"/>
  <c r="AH352" i="1"/>
  <c r="AJ352" i="1"/>
  <c r="AS351" i="1" s="1"/>
  <c r="AK352" i="1"/>
  <c r="AO352" i="1"/>
  <c r="I352" i="1" s="1"/>
  <c r="I351" i="1" s="1"/>
  <c r="AP352" i="1"/>
  <c r="J352" i="1" s="1"/>
  <c r="J351" i="1" s="1"/>
  <c r="AX352" i="1"/>
  <c r="BD352" i="1"/>
  <c r="BF352" i="1"/>
  <c r="BH352" i="1"/>
  <c r="BI352" i="1"/>
  <c r="BJ352" i="1"/>
  <c r="K354" i="1"/>
  <c r="AU354" i="1"/>
  <c r="I355" i="1"/>
  <c r="I354" i="1" s="1"/>
  <c r="K355" i="1"/>
  <c r="Z355" i="1"/>
  <c r="AB355" i="1"/>
  <c r="AC355" i="1"/>
  <c r="AD355" i="1"/>
  <c r="AE355" i="1"/>
  <c r="AF355" i="1"/>
  <c r="AH355" i="1"/>
  <c r="AJ355" i="1"/>
  <c r="AS354" i="1" s="1"/>
  <c r="AK355" i="1"/>
  <c r="AT354" i="1" s="1"/>
  <c r="AL355" i="1"/>
  <c r="AO355" i="1"/>
  <c r="AP355" i="1"/>
  <c r="J355" i="1" s="1"/>
  <c r="J354" i="1" s="1"/>
  <c r="AW355" i="1"/>
  <c r="BD355" i="1"/>
  <c r="BF355" i="1"/>
  <c r="BH355" i="1"/>
  <c r="BJ355" i="1"/>
  <c r="I358" i="1"/>
  <c r="J358" i="1"/>
  <c r="K358" i="1"/>
  <c r="AB358" i="1"/>
  <c r="AC358" i="1"/>
  <c r="AD358" i="1"/>
  <c r="AE358" i="1"/>
  <c r="AF358" i="1"/>
  <c r="AG358" i="1"/>
  <c r="AH358" i="1"/>
  <c r="AJ358" i="1"/>
  <c r="AK358" i="1"/>
  <c r="AT357" i="1" s="1"/>
  <c r="AL358" i="1"/>
  <c r="AO358" i="1"/>
  <c r="AP358" i="1"/>
  <c r="AV358" i="1"/>
  <c r="AW358" i="1"/>
  <c r="BC358" i="1" s="1"/>
  <c r="AX358" i="1"/>
  <c r="BD358" i="1"/>
  <c r="BF358" i="1"/>
  <c r="BH358" i="1"/>
  <c r="BI358" i="1"/>
  <c r="BJ358" i="1"/>
  <c r="Z358" i="1" s="1"/>
  <c r="I360" i="1"/>
  <c r="K360" i="1"/>
  <c r="Z360" i="1"/>
  <c r="AB360" i="1"/>
  <c r="AC360" i="1"/>
  <c r="AD360" i="1"/>
  <c r="AE360" i="1"/>
  <c r="AF360" i="1"/>
  <c r="AG360" i="1"/>
  <c r="AH360" i="1"/>
  <c r="AJ360" i="1"/>
  <c r="AS357" i="1" s="1"/>
  <c r="AK360" i="1"/>
  <c r="AL360" i="1"/>
  <c r="AO360" i="1"/>
  <c r="AP360" i="1"/>
  <c r="J360" i="1" s="1"/>
  <c r="AW360" i="1"/>
  <c r="BD360" i="1"/>
  <c r="BF360" i="1"/>
  <c r="BH360" i="1"/>
  <c r="BJ360" i="1"/>
  <c r="K362" i="1"/>
  <c r="K357" i="1" s="1"/>
  <c r="Z362" i="1"/>
  <c r="AB362" i="1"/>
  <c r="AC362" i="1"/>
  <c r="AD362" i="1"/>
  <c r="AE362" i="1"/>
  <c r="AF362" i="1"/>
  <c r="AG362" i="1"/>
  <c r="AH362" i="1"/>
  <c r="AJ362" i="1"/>
  <c r="AK362" i="1"/>
  <c r="AO362" i="1"/>
  <c r="I362" i="1" s="1"/>
  <c r="AP362" i="1"/>
  <c r="J362" i="1" s="1"/>
  <c r="AX362" i="1"/>
  <c r="BD362" i="1"/>
  <c r="BF362" i="1"/>
  <c r="BH362" i="1"/>
  <c r="BI362" i="1"/>
  <c r="BJ362" i="1"/>
  <c r="J364" i="1"/>
  <c r="K364" i="1"/>
  <c r="Z364" i="1"/>
  <c r="AB364" i="1"/>
  <c r="AC364" i="1"/>
  <c r="AD364" i="1"/>
  <c r="AE364" i="1"/>
  <c r="AF364" i="1"/>
  <c r="AG364" i="1"/>
  <c r="AH364" i="1"/>
  <c r="AJ364" i="1"/>
  <c r="AK364" i="1"/>
  <c r="AL364" i="1"/>
  <c r="AO364" i="1"/>
  <c r="I364" i="1" s="1"/>
  <c r="AP364" i="1"/>
  <c r="AW364" i="1"/>
  <c r="BC364" i="1" s="1"/>
  <c r="AX364" i="1"/>
  <c r="BD364" i="1"/>
  <c r="BF364" i="1"/>
  <c r="BH364" i="1"/>
  <c r="BI364" i="1"/>
  <c r="BJ364" i="1"/>
  <c r="I366" i="1"/>
  <c r="J366" i="1"/>
  <c r="K366" i="1"/>
  <c r="AB366" i="1"/>
  <c r="AC366" i="1"/>
  <c r="AD366" i="1"/>
  <c r="AE366" i="1"/>
  <c r="AF366" i="1"/>
  <c r="AG366" i="1"/>
  <c r="AH366" i="1"/>
  <c r="AJ366" i="1"/>
  <c r="AK366" i="1"/>
  <c r="AL366" i="1"/>
  <c r="AO366" i="1"/>
  <c r="AP366" i="1"/>
  <c r="AV366" i="1"/>
  <c r="AW366" i="1"/>
  <c r="BC366" i="1" s="1"/>
  <c r="AX366" i="1"/>
  <c r="BD366" i="1"/>
  <c r="BF366" i="1"/>
  <c r="BH366" i="1"/>
  <c r="BI366" i="1"/>
  <c r="BJ366" i="1"/>
  <c r="Z366" i="1" s="1"/>
  <c r="I368" i="1"/>
  <c r="K368" i="1"/>
  <c r="Z368" i="1"/>
  <c r="AB368" i="1"/>
  <c r="AC368" i="1"/>
  <c r="AD368" i="1"/>
  <c r="AE368" i="1"/>
  <c r="AF368" i="1"/>
  <c r="AG368" i="1"/>
  <c r="AH368" i="1"/>
  <c r="AJ368" i="1"/>
  <c r="AK368" i="1"/>
  <c r="AL368" i="1"/>
  <c r="AO368" i="1"/>
  <c r="AP368" i="1"/>
  <c r="J368" i="1" s="1"/>
  <c r="AW368" i="1"/>
  <c r="BD368" i="1"/>
  <c r="BF368" i="1"/>
  <c r="BH368" i="1"/>
  <c r="BJ368" i="1"/>
  <c r="K370" i="1"/>
  <c r="AL370" i="1" s="1"/>
  <c r="Z370" i="1"/>
  <c r="AB370" i="1"/>
  <c r="AC370" i="1"/>
  <c r="AD370" i="1"/>
  <c r="AE370" i="1"/>
  <c r="AF370" i="1"/>
  <c r="AG370" i="1"/>
  <c r="AH370" i="1"/>
  <c r="AJ370" i="1"/>
  <c r="AK370" i="1"/>
  <c r="AO370" i="1"/>
  <c r="I370" i="1" s="1"/>
  <c r="AP370" i="1"/>
  <c r="J370" i="1" s="1"/>
  <c r="AX370" i="1"/>
  <c r="BD370" i="1"/>
  <c r="BF370" i="1"/>
  <c r="BH370" i="1"/>
  <c r="BI370" i="1"/>
  <c r="BJ370" i="1"/>
  <c r="J372" i="1"/>
  <c r="K372" i="1"/>
  <c r="Z372" i="1"/>
  <c r="AB372" i="1"/>
  <c r="AC372" i="1"/>
  <c r="AD372" i="1"/>
  <c r="AE372" i="1"/>
  <c r="AF372" i="1"/>
  <c r="AG372" i="1"/>
  <c r="AH372" i="1"/>
  <c r="AJ372" i="1"/>
  <c r="AK372" i="1"/>
  <c r="AL372" i="1"/>
  <c r="AO372" i="1"/>
  <c r="I372" i="1" s="1"/>
  <c r="AP372" i="1"/>
  <c r="AW372" i="1"/>
  <c r="BC372" i="1" s="1"/>
  <c r="AX372" i="1"/>
  <c r="BD372" i="1"/>
  <c r="BF372" i="1"/>
  <c r="BH372" i="1"/>
  <c r="BI372" i="1"/>
  <c r="BJ372" i="1"/>
  <c r="I374" i="1"/>
  <c r="J374" i="1"/>
  <c r="K374" i="1"/>
  <c r="AB374" i="1"/>
  <c r="AC374" i="1"/>
  <c r="AD374" i="1"/>
  <c r="AE374" i="1"/>
  <c r="AF374" i="1"/>
  <c r="AG374" i="1"/>
  <c r="AH374" i="1"/>
  <c r="AJ374" i="1"/>
  <c r="AK374" i="1"/>
  <c r="AL374" i="1"/>
  <c r="AO374" i="1"/>
  <c r="AP374" i="1"/>
  <c r="AV374" i="1"/>
  <c r="AW374" i="1"/>
  <c r="BC374" i="1" s="1"/>
  <c r="AX374" i="1"/>
  <c r="BD374" i="1"/>
  <c r="BF374" i="1"/>
  <c r="BH374" i="1"/>
  <c r="BI374" i="1"/>
  <c r="BJ374" i="1"/>
  <c r="Z374" i="1" s="1"/>
  <c r="BC36" i="1" l="1"/>
  <c r="J357" i="1"/>
  <c r="I357" i="1"/>
  <c r="AV334" i="1"/>
  <c r="BI355" i="1"/>
  <c r="AG355" i="1" s="1"/>
  <c r="I302" i="1"/>
  <c r="AW302" i="1"/>
  <c r="I293" i="1"/>
  <c r="I292" i="1" s="1"/>
  <c r="AW293" i="1"/>
  <c r="I283" i="1"/>
  <c r="AW283" i="1"/>
  <c r="AX323" i="1"/>
  <c r="AS322" i="1"/>
  <c r="BH293" i="1"/>
  <c r="AB293" i="1" s="1"/>
  <c r="C14" i="2" s="1"/>
  <c r="BC285" i="1"/>
  <c r="AV285" i="1"/>
  <c r="BH283" i="1"/>
  <c r="AD283" i="1" s="1"/>
  <c r="I280" i="1"/>
  <c r="I270" i="1"/>
  <c r="AW270" i="1"/>
  <c r="BC259" i="1"/>
  <c r="AV259" i="1"/>
  <c r="K258" i="1"/>
  <c r="J239" i="1"/>
  <c r="AX239" i="1"/>
  <c r="AU232" i="1"/>
  <c r="K232" i="1"/>
  <c r="J230" i="1"/>
  <c r="AX230" i="1"/>
  <c r="BC230" i="1" s="1"/>
  <c r="BC226" i="1"/>
  <c r="AV226" i="1"/>
  <c r="AL218" i="1"/>
  <c r="AU215" i="1" s="1"/>
  <c r="K215" i="1"/>
  <c r="J216" i="1"/>
  <c r="J215" i="1" s="1"/>
  <c r="AX216" i="1"/>
  <c r="BC216" i="1" s="1"/>
  <c r="BC206" i="1"/>
  <c r="AV206" i="1"/>
  <c r="I161" i="1"/>
  <c r="AW161" i="1"/>
  <c r="BH161" i="1"/>
  <c r="AD161" i="1" s="1"/>
  <c r="BI368" i="1"/>
  <c r="BI360" i="1"/>
  <c r="BC244" i="1"/>
  <c r="AV244" i="1"/>
  <c r="AX200" i="1"/>
  <c r="BC200" i="1" s="1"/>
  <c r="J200" i="1"/>
  <c r="J190" i="1" s="1"/>
  <c r="BI200" i="1"/>
  <c r="AE200" i="1" s="1"/>
  <c r="AV372" i="1"/>
  <c r="AW370" i="1"/>
  <c r="AX368" i="1"/>
  <c r="AV364" i="1"/>
  <c r="AW362" i="1"/>
  <c r="AL362" i="1"/>
  <c r="AU357" i="1" s="1"/>
  <c r="AX360" i="1"/>
  <c r="AX355" i="1"/>
  <c r="AW352" i="1"/>
  <c r="AL352" i="1"/>
  <c r="AU351" i="1" s="1"/>
  <c r="AV349" i="1"/>
  <c r="J342" i="1"/>
  <c r="BH340" i="1"/>
  <c r="AB340" i="1" s="1"/>
  <c r="AW340" i="1"/>
  <c r="BH338" i="1"/>
  <c r="AB338" i="1" s="1"/>
  <c r="I336" i="1"/>
  <c r="I323" i="1"/>
  <c r="AW323" i="1"/>
  <c r="BH320" i="1"/>
  <c r="AB320" i="1" s="1"/>
  <c r="AW320" i="1"/>
  <c r="BI315" i="1"/>
  <c r="AC315" i="1" s="1"/>
  <c r="AL309" i="1"/>
  <c r="AU308" i="1" s="1"/>
  <c r="BH304" i="1"/>
  <c r="AB304" i="1" s="1"/>
  <c r="AW304" i="1"/>
  <c r="BI302" i="1"/>
  <c r="AC302" i="1" s="1"/>
  <c r="K292" i="1"/>
  <c r="AL293" i="1"/>
  <c r="AU292" i="1" s="1"/>
  <c r="AT280" i="1"/>
  <c r="I278" i="1"/>
  <c r="AW278" i="1"/>
  <c r="J268" i="1"/>
  <c r="J258" i="1" s="1"/>
  <c r="AX268" i="1"/>
  <c r="I258" i="1"/>
  <c r="J253" i="1"/>
  <c r="AX253" i="1"/>
  <c r="I241" i="1"/>
  <c r="AW241" i="1"/>
  <c r="BI239" i="1"/>
  <c r="AE239" i="1" s="1"/>
  <c r="J232" i="1"/>
  <c r="BI230" i="1"/>
  <c r="I225" i="1"/>
  <c r="I218" i="1"/>
  <c r="AW218" i="1"/>
  <c r="BI216" i="1"/>
  <c r="AE216" i="1" s="1"/>
  <c r="AV202" i="1"/>
  <c r="AV188" i="1"/>
  <c r="J178" i="1"/>
  <c r="AX178" i="1"/>
  <c r="BI178" i="1"/>
  <c r="AE178" i="1" s="1"/>
  <c r="BC176" i="1"/>
  <c r="AV176" i="1"/>
  <c r="I315" i="1"/>
  <c r="I308" i="1" s="1"/>
  <c r="AW315" i="1"/>
  <c r="J276" i="1"/>
  <c r="AX276" i="1"/>
  <c r="J225" i="1"/>
  <c r="BC221" i="1"/>
  <c r="AV221" i="1"/>
  <c r="I215" i="1"/>
  <c r="J211" i="1"/>
  <c r="AX211" i="1"/>
  <c r="BC211" i="1" s="1"/>
  <c r="I204" i="1"/>
  <c r="AW204" i="1"/>
  <c r="I197" i="1"/>
  <c r="AW197" i="1"/>
  <c r="BH197" i="1"/>
  <c r="AD197" i="1" s="1"/>
  <c r="AS190" i="1"/>
  <c r="J149" i="1"/>
  <c r="AX149" i="1"/>
  <c r="BI149" i="1"/>
  <c r="AE149" i="1" s="1"/>
  <c r="C20" i="2"/>
  <c r="AW338" i="1"/>
  <c r="J334" i="1"/>
  <c r="J322" i="1" s="1"/>
  <c r="AX334" i="1"/>
  <c r="BC334" i="1" s="1"/>
  <c r="BH325" i="1"/>
  <c r="AB325" i="1" s="1"/>
  <c r="AW325" i="1"/>
  <c r="BI323" i="1"/>
  <c r="AC323" i="1" s="1"/>
  <c r="K322" i="1"/>
  <c r="AL323" i="1"/>
  <c r="AU322" i="1" s="1"/>
  <c r="BH315" i="1"/>
  <c r="AB315" i="1" s="1"/>
  <c r="AX315" i="1"/>
  <c r="J313" i="1"/>
  <c r="J308" i="1" s="1"/>
  <c r="AX313" i="1"/>
  <c r="BH309" i="1"/>
  <c r="AB309" i="1" s="1"/>
  <c r="AW309" i="1"/>
  <c r="BH302" i="1"/>
  <c r="AB302" i="1" s="1"/>
  <c r="AX302" i="1"/>
  <c r="J300" i="1"/>
  <c r="J292" i="1" s="1"/>
  <c r="AX300" i="1"/>
  <c r="BC296" i="1"/>
  <c r="AV296" i="1"/>
  <c r="AS292" i="1"/>
  <c r="BC290" i="1"/>
  <c r="AV290" i="1"/>
  <c r="AL283" i="1"/>
  <c r="AU280" i="1" s="1"/>
  <c r="K280" i="1"/>
  <c r="J281" i="1"/>
  <c r="J280" i="1" s="1"/>
  <c r="AX281" i="1"/>
  <c r="BI276" i="1"/>
  <c r="AE276" i="1" s="1"/>
  <c r="BC272" i="1"/>
  <c r="AV272" i="1"/>
  <c r="BH270" i="1"/>
  <c r="AD270" i="1" s="1"/>
  <c r="AU258" i="1"/>
  <c r="I232" i="1"/>
  <c r="AU225" i="1"/>
  <c r="AV216" i="1"/>
  <c r="AT215" i="1"/>
  <c r="I213" i="1"/>
  <c r="AW213" i="1"/>
  <c r="BI211" i="1"/>
  <c r="AE211" i="1" s="1"/>
  <c r="AU190" i="1"/>
  <c r="K190" i="1"/>
  <c r="AV185" i="1"/>
  <c r="BC185" i="1"/>
  <c r="I181" i="1"/>
  <c r="I175" i="1" s="1"/>
  <c r="AW181" i="1"/>
  <c r="BH181" i="1"/>
  <c r="AD181" i="1" s="1"/>
  <c r="I167" i="1"/>
  <c r="AW167" i="1"/>
  <c r="BH167" i="1"/>
  <c r="AD167" i="1" s="1"/>
  <c r="J165" i="1"/>
  <c r="AX165" i="1"/>
  <c r="BI165" i="1"/>
  <c r="AE165" i="1" s="1"/>
  <c r="BC163" i="1"/>
  <c r="AV163" i="1"/>
  <c r="J159" i="1"/>
  <c r="BI159" i="1"/>
  <c r="AE159" i="1" s="1"/>
  <c r="C17" i="2" s="1"/>
  <c r="AX159" i="1"/>
  <c r="BI202" i="1"/>
  <c r="AE202" i="1" s="1"/>
  <c r="I202" i="1"/>
  <c r="AV200" i="1"/>
  <c r="BH193" i="1"/>
  <c r="AD193" i="1" s="1"/>
  <c r="BI188" i="1"/>
  <c r="AE188" i="1" s="1"/>
  <c r="I188" i="1"/>
  <c r="I187" i="1" s="1"/>
  <c r="BH185" i="1"/>
  <c r="J157" i="1"/>
  <c r="AX157" i="1"/>
  <c r="AS141" i="1"/>
  <c r="AW123" i="1"/>
  <c r="BH123" i="1"/>
  <c r="AB123" i="1" s="1"/>
  <c r="I123" i="1"/>
  <c r="I105" i="1"/>
  <c r="AW105" i="1"/>
  <c r="BH105" i="1"/>
  <c r="AB105" i="1" s="1"/>
  <c r="AW195" i="1"/>
  <c r="I190" i="1"/>
  <c r="BI181" i="1"/>
  <c r="AE181" i="1" s="1"/>
  <c r="AT175" i="1"/>
  <c r="K175" i="1"/>
  <c r="BH169" i="1"/>
  <c r="AD169" i="1" s="1"/>
  <c r="C16" i="2" s="1"/>
  <c r="AW169" i="1"/>
  <c r="I159" i="1"/>
  <c r="AW159" i="1"/>
  <c r="BC153" i="1"/>
  <c r="AV153" i="1"/>
  <c r="K141" i="1"/>
  <c r="AX138" i="1"/>
  <c r="AV138" i="1" s="1"/>
  <c r="J138" i="1"/>
  <c r="J137" i="1" s="1"/>
  <c r="BI138" i="1"/>
  <c r="AC138" i="1" s="1"/>
  <c r="J135" i="1"/>
  <c r="AX135" i="1"/>
  <c r="BI135" i="1"/>
  <c r="AC135" i="1" s="1"/>
  <c r="I193" i="1"/>
  <c r="AT190" i="1"/>
  <c r="K187" i="1"/>
  <c r="J175" i="1"/>
  <c r="J173" i="1"/>
  <c r="AX173" i="1"/>
  <c r="I151" i="1"/>
  <c r="AW151" i="1"/>
  <c r="BC145" i="1"/>
  <c r="AV145" i="1"/>
  <c r="I141" i="1"/>
  <c r="AV126" i="1"/>
  <c r="BC126" i="1"/>
  <c r="AT45" i="1"/>
  <c r="AV30" i="1"/>
  <c r="AU141" i="1"/>
  <c r="BC86" i="1"/>
  <c r="AV86" i="1"/>
  <c r="BC59" i="1"/>
  <c r="AV59" i="1"/>
  <c r="BC48" i="1"/>
  <c r="AV48" i="1"/>
  <c r="AS45" i="1"/>
  <c r="BC43" i="1"/>
  <c r="AV43" i="1"/>
  <c r="BC38" i="1"/>
  <c r="AV38" i="1"/>
  <c r="J30" i="1"/>
  <c r="AX30" i="1"/>
  <c r="BC30" i="1" s="1"/>
  <c r="J24" i="1"/>
  <c r="AX123" i="1"/>
  <c r="BC109" i="1"/>
  <c r="BH107" i="1"/>
  <c r="AB107" i="1" s="1"/>
  <c r="AW107" i="1"/>
  <c r="BI105" i="1"/>
  <c r="AC105" i="1" s="1"/>
  <c r="J91" i="1"/>
  <c r="AX91" i="1"/>
  <c r="I77" i="1"/>
  <c r="AW77" i="1"/>
  <c r="J75" i="1"/>
  <c r="AX75" i="1"/>
  <c r="BC75" i="1" s="1"/>
  <c r="I54" i="1"/>
  <c r="AW54" i="1"/>
  <c r="J52" i="1"/>
  <c r="J45" i="1" s="1"/>
  <c r="AX52" i="1"/>
  <c r="BC52" i="1" s="1"/>
  <c r="I46" i="1"/>
  <c r="AW46" i="1"/>
  <c r="I41" i="1"/>
  <c r="I40" i="1" s="1"/>
  <c r="AW41" i="1"/>
  <c r="BC33" i="1"/>
  <c r="BC28" i="1"/>
  <c r="BC25" i="1"/>
  <c r="AV25" i="1"/>
  <c r="C19" i="2"/>
  <c r="J141" i="1"/>
  <c r="AX105" i="1"/>
  <c r="AV52" i="1"/>
  <c r="K45" i="1"/>
  <c r="AL46" i="1"/>
  <c r="AU45" i="1" s="1"/>
  <c r="K40" i="1"/>
  <c r="AL41" i="1"/>
  <c r="AU40" i="1" s="1"/>
  <c r="BI30" i="1"/>
  <c r="AC30" i="1" s="1"/>
  <c r="BC22" i="1"/>
  <c r="BC19" i="1"/>
  <c r="AV19" i="1"/>
  <c r="C15" i="2"/>
  <c r="C18" i="2"/>
  <c r="C21" i="2"/>
  <c r="C28" i="2"/>
  <c r="AX13" i="1"/>
  <c r="AV13" i="1" s="1"/>
  <c r="C27" i="2"/>
  <c r="C22" i="2" l="1"/>
  <c r="F28" i="2"/>
  <c r="AV338" i="1"/>
  <c r="BC338" i="1"/>
  <c r="BC178" i="1"/>
  <c r="AV178" i="1"/>
  <c r="BC320" i="1"/>
  <c r="AV320" i="1"/>
  <c r="AV75" i="1"/>
  <c r="I45" i="1"/>
  <c r="BC107" i="1"/>
  <c r="AV107" i="1"/>
  <c r="C29" i="2"/>
  <c r="F29" i="2" s="1"/>
  <c r="AV173" i="1"/>
  <c r="BC173" i="1"/>
  <c r="AV213" i="1"/>
  <c r="BC213" i="1"/>
  <c r="AV281" i="1"/>
  <c r="BC281" i="1"/>
  <c r="AV278" i="1"/>
  <c r="BC278" i="1"/>
  <c r="AV323" i="1"/>
  <c r="BC323" i="1"/>
  <c r="BC340" i="1"/>
  <c r="AV340" i="1"/>
  <c r="AV370" i="1"/>
  <c r="BC370" i="1"/>
  <c r="BC138" i="1"/>
  <c r="AV293" i="1"/>
  <c r="BC293" i="1"/>
  <c r="BC13" i="1"/>
  <c r="AV41" i="1"/>
  <c r="BC41" i="1"/>
  <c r="BC91" i="1"/>
  <c r="AV91" i="1"/>
  <c r="BC169" i="1"/>
  <c r="AV169" i="1"/>
  <c r="AV105" i="1"/>
  <c r="BC105" i="1"/>
  <c r="AV123" i="1"/>
  <c r="BC123" i="1"/>
  <c r="AV181" i="1"/>
  <c r="BC181" i="1"/>
  <c r="AV230" i="1"/>
  <c r="AV300" i="1"/>
  <c r="BC300" i="1"/>
  <c r="BC309" i="1"/>
  <c r="AV309" i="1"/>
  <c r="AV149" i="1"/>
  <c r="BC149" i="1"/>
  <c r="BC197" i="1"/>
  <c r="AV197" i="1"/>
  <c r="AV315" i="1"/>
  <c r="BC315" i="1"/>
  <c r="AV241" i="1"/>
  <c r="BC241" i="1"/>
  <c r="I322" i="1"/>
  <c r="AV352" i="1"/>
  <c r="BC352" i="1"/>
  <c r="AV362" i="1"/>
  <c r="BC362" i="1"/>
  <c r="AV151" i="1"/>
  <c r="BC151" i="1"/>
  <c r="AV167" i="1"/>
  <c r="BC167" i="1"/>
  <c r="BC161" i="1"/>
  <c r="AV161" i="1"/>
  <c r="AV239" i="1"/>
  <c r="BC239" i="1"/>
  <c r="AV283" i="1"/>
  <c r="BC283" i="1"/>
  <c r="AV302" i="1"/>
  <c r="BC302" i="1"/>
  <c r="BC325" i="1"/>
  <c r="AV325" i="1"/>
  <c r="AV268" i="1"/>
  <c r="BC268" i="1"/>
  <c r="BC304" i="1"/>
  <c r="AV304" i="1"/>
  <c r="BC355" i="1"/>
  <c r="AV355" i="1"/>
  <c r="AV46" i="1"/>
  <c r="BC46" i="1"/>
  <c r="AV54" i="1"/>
  <c r="BC54" i="1"/>
  <c r="AV77" i="1"/>
  <c r="BC77" i="1"/>
  <c r="BC135" i="1"/>
  <c r="AV135" i="1"/>
  <c r="AV159" i="1"/>
  <c r="BC159" i="1"/>
  <c r="AV195" i="1"/>
  <c r="BC195" i="1"/>
  <c r="AV157" i="1"/>
  <c r="BC157" i="1"/>
  <c r="BC165" i="1"/>
  <c r="AV165" i="1"/>
  <c r="AV313" i="1"/>
  <c r="BC313" i="1"/>
  <c r="AV204" i="1"/>
  <c r="BC204" i="1"/>
  <c r="AV276" i="1"/>
  <c r="BC276" i="1"/>
  <c r="AV218" i="1"/>
  <c r="BC218" i="1"/>
  <c r="AV253" i="1"/>
  <c r="BC253" i="1"/>
  <c r="AV360" i="1"/>
  <c r="BC360" i="1"/>
  <c r="BC368" i="1"/>
  <c r="AV368" i="1"/>
  <c r="AV211" i="1"/>
  <c r="AV270" i="1"/>
  <c r="BC270" i="1"/>
  <c r="I28" i="2" l="1"/>
  <c r="I29" i="2" s="1"/>
</calcChain>
</file>

<file path=xl/sharedStrings.xml><?xml version="1.0" encoding="utf-8"?>
<sst xmlns="http://schemas.openxmlformats.org/spreadsheetml/2006/main" count="1583" uniqueCount="739">
  <si>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</si>
  <si>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</si>
  <si>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</si>
  <si>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</si>
  <si>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</si>
  <si>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</si>
  <si>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</si>
  <si>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</si>
  <si>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</si>
  <si>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</si>
  <si>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</si>
  <si>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</si>
  <si>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</si>
  <si>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</si>
  <si>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</si>
  <si>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</si>
  <si>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</si>
  <si>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</si>
  <si>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</si>
  <si>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</si>
  <si>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</si>
  <si>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</si>
  <si>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</si>
  <si>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</si>
  <si>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</si>
  <si>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</si>
  <si>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</si>
  <si>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</si>
  <si>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</si>
  <si>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</si>
  <si>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</si>
  <si>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</si>
  <si>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</si>
  <si>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</si>
  <si>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</si>
  <si>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</si>
  <si>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</si>
  <si>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</si>
  <si>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</si>
  <si>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</si>
  <si>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</si>
  <si>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</si>
  <si>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</si>
  <si>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</si>
  <si>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</si>
  <si>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</si>
  <si>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</si>
  <si>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</si>
  <si>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</si>
  <si>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</si>
  <si>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</si>
  <si>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</si>
  <si>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</si>
  <si>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</si>
  <si>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</si>
  <si>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</si>
  <si>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</si>
  <si>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</si>
  <si>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</si>
  <si>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</si>
  <si>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</si>
  <si>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</si>
  <si>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</si>
  <si>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</si>
  <si>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</si>
  <si>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</si>
  <si>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</si>
  <si>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</si>
  <si>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</si>
  <si>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</si>
  <si>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</si>
  <si>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</si>
  <si>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</si>
  <si>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</si>
  <si>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</si>
  <si>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</si>
  <si>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</si>
  <si>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</si>
  <si>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</si>
  <si>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</si>
  <si>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</si>
  <si>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</si>
  <si>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</si>
  <si>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</si>
  <si>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</si>
  <si>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</si>
  <si>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</si>
  <si>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</si>
  <si>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</si>
  <si>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</si>
  <si>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</si>
  <si>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</si>
  <si>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</si>
  <si>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</si>
  <si>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</si>
  <si>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</si>
  <si>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</si>
  <si>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</si>
  <si>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</si>
  <si>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</si>
  <si>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</si>
  <si>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</si>
  <si>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</si>
  <si>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</si>
  <si>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</si>
  <si>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</si>
  <si>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</si>
  <si>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</si>
  <si>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</si>
  <si>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</si>
  <si>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</si>
  <si>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</si>
  <si>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</si>
  <si>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</si>
  <si>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</si>
  <si>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</si>
  <si>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</si>
  <si>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</si>
  <si>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</si>
  <si>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</si>
  <si>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</si>
  <si>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</si>
  <si>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</si>
  <si>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</si>
  <si>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</si>
  <si>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</si>
  <si>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</si>
  <si>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</si>
  <si>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</si>
  <si>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</si>
  <si>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</si>
  <si>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Poznámka:</t>
  </si>
  <si>
    <t>Kód</t>
  </si>
  <si>
    <t>100001500R00</t>
  </si>
  <si>
    <t>139600013RA0</t>
  </si>
  <si>
    <t>167101101R00</t>
  </si>
  <si>
    <t>162701105R00</t>
  </si>
  <si>
    <t>174101101R00</t>
  </si>
  <si>
    <t>171201201R00</t>
  </si>
  <si>
    <t>199000002R00</t>
  </si>
  <si>
    <t>202110015VD</t>
  </si>
  <si>
    <t>596100030RA0</t>
  </si>
  <si>
    <t>612100020RA0</t>
  </si>
  <si>
    <t>612425931R00</t>
  </si>
  <si>
    <t>622421493R00</t>
  </si>
  <si>
    <t>622311524RV1</t>
  </si>
  <si>
    <t>622311734RT3</t>
  </si>
  <si>
    <t>622311134RT3</t>
  </si>
  <si>
    <t>622311353RT3</t>
  </si>
  <si>
    <t>622311563R00</t>
  </si>
  <si>
    <t>622481113R00</t>
  </si>
  <si>
    <t>620991121R00</t>
  </si>
  <si>
    <t>622432111R00</t>
  </si>
  <si>
    <t>622481292R00</t>
  </si>
  <si>
    <t>28350203</t>
  </si>
  <si>
    <t>28350107.A</t>
  </si>
  <si>
    <t>622481291R00</t>
  </si>
  <si>
    <t>55392762</t>
  </si>
  <si>
    <t>622473187RT2</t>
  </si>
  <si>
    <t>622904112R00</t>
  </si>
  <si>
    <t>622401937R00</t>
  </si>
  <si>
    <t>622429991R00</t>
  </si>
  <si>
    <t>622311014R00</t>
  </si>
  <si>
    <t>648952421RT3</t>
  </si>
  <si>
    <t>712</t>
  </si>
  <si>
    <t>712300831R00</t>
  </si>
  <si>
    <t>712300832R00</t>
  </si>
  <si>
    <t>764291410R00</t>
  </si>
  <si>
    <t>712378006R00</t>
  </si>
  <si>
    <t>712378007R00</t>
  </si>
  <si>
    <t>711823129R00</t>
  </si>
  <si>
    <t>58556701.A</t>
  </si>
  <si>
    <t>712378101RT4</t>
  </si>
  <si>
    <t>712110011VD</t>
  </si>
  <si>
    <t>712351111R00</t>
  </si>
  <si>
    <t>62852269</t>
  </si>
  <si>
    <t>712391171R00</t>
  </si>
  <si>
    <t>69366198</t>
  </si>
  <si>
    <t>712472101R00</t>
  </si>
  <si>
    <t>283220012</t>
  </si>
  <si>
    <t>998712101R00</t>
  </si>
  <si>
    <t>713</t>
  </si>
  <si>
    <t>713104222R00</t>
  </si>
  <si>
    <t>713141312R00</t>
  </si>
  <si>
    <t>28375769.A</t>
  </si>
  <si>
    <t>998713101R00</t>
  </si>
  <si>
    <t>721</t>
  </si>
  <si>
    <t>721210823R00</t>
  </si>
  <si>
    <t>728</t>
  </si>
  <si>
    <t>728415816R00</t>
  </si>
  <si>
    <t>728618811R00</t>
  </si>
  <si>
    <t>728618215R00</t>
  </si>
  <si>
    <t>728314111R00</t>
  </si>
  <si>
    <t>553432903</t>
  </si>
  <si>
    <t>553432906</t>
  </si>
  <si>
    <t>553432905</t>
  </si>
  <si>
    <t>553432904</t>
  </si>
  <si>
    <t>728415819R00</t>
  </si>
  <si>
    <t>728415818R00</t>
  </si>
  <si>
    <t>998728101R00</t>
  </si>
  <si>
    <t>762</t>
  </si>
  <si>
    <t>762510010RAI</t>
  </si>
  <si>
    <t>60725016</t>
  </si>
  <si>
    <t>762526110RT3</t>
  </si>
  <si>
    <t>998762102R00</t>
  </si>
  <si>
    <t>763</t>
  </si>
  <si>
    <t>763613212R00</t>
  </si>
  <si>
    <t>606233006</t>
  </si>
  <si>
    <t>998763101R00</t>
  </si>
  <si>
    <t>764</t>
  </si>
  <si>
    <t>764900050RA0</t>
  </si>
  <si>
    <t>764321820R00</t>
  </si>
  <si>
    <t>764311831R00</t>
  </si>
  <si>
    <t>764410310RAB</t>
  </si>
  <si>
    <t>764211401R00</t>
  </si>
  <si>
    <t>998764101R00</t>
  </si>
  <si>
    <t>765</t>
  </si>
  <si>
    <t>765321810R00</t>
  </si>
  <si>
    <t>766</t>
  </si>
  <si>
    <t>766629310R00</t>
  </si>
  <si>
    <t>611110014VD</t>
  </si>
  <si>
    <t>611110021VD</t>
  </si>
  <si>
    <t>611110015VD</t>
  </si>
  <si>
    <t>611110022VD</t>
  </si>
  <si>
    <t>611110023VD</t>
  </si>
  <si>
    <t>611110024VD</t>
  </si>
  <si>
    <t>998766101R00</t>
  </si>
  <si>
    <t>767</t>
  </si>
  <si>
    <t>767995114VD</t>
  </si>
  <si>
    <t>001111130VD</t>
  </si>
  <si>
    <t>767995126VD</t>
  </si>
  <si>
    <t>998767101R00</t>
  </si>
  <si>
    <t>784</t>
  </si>
  <si>
    <t>784433271R00</t>
  </si>
  <si>
    <t>941941042R00</t>
  </si>
  <si>
    <t>941941292R00</t>
  </si>
  <si>
    <t>941941842R00</t>
  </si>
  <si>
    <t>944944011R00</t>
  </si>
  <si>
    <t>944944031R00</t>
  </si>
  <si>
    <t>944944081R00</t>
  </si>
  <si>
    <t>998009101R00</t>
  </si>
  <si>
    <t>952901411R00</t>
  </si>
  <si>
    <t>952901110R00</t>
  </si>
  <si>
    <t>952900001VD</t>
  </si>
  <si>
    <t>952900002VD</t>
  </si>
  <si>
    <t>965042131RT2</t>
  </si>
  <si>
    <t>968061112R00</t>
  </si>
  <si>
    <t>968061113R00</t>
  </si>
  <si>
    <t>968062247R00</t>
  </si>
  <si>
    <t>968062246R00</t>
  </si>
  <si>
    <t>968111119VD</t>
  </si>
  <si>
    <t>968062244R00</t>
  </si>
  <si>
    <t>967031732R00</t>
  </si>
  <si>
    <t>968095002R00</t>
  </si>
  <si>
    <t>978059631R00</t>
  </si>
  <si>
    <t>H99</t>
  </si>
  <si>
    <t>999281108R00</t>
  </si>
  <si>
    <t>M46</t>
  </si>
  <si>
    <t>460620006RT1</t>
  </si>
  <si>
    <t>S</t>
  </si>
  <si>
    <t>979082111R00</t>
  </si>
  <si>
    <t>979082212R00</t>
  </si>
  <si>
    <t>979087113R00</t>
  </si>
  <si>
    <t>979081111R00</t>
  </si>
  <si>
    <t>979081121R00</t>
  </si>
  <si>
    <t>979990121R00</t>
  </si>
  <si>
    <t>979990201R00</t>
  </si>
  <si>
    <t>979990144R00</t>
  </si>
  <si>
    <t>979990001R00</t>
  </si>
  <si>
    <t>SNÍŽENÍ ENERGETICKÉ NÁROČNOSTI BUDOVY 3. ZÁKLADNÍ ŠKOLY, CHEB</t>
  </si>
  <si>
    <t>Objekt 4 - stravování</t>
  </si>
  <si>
    <t>Malé Náměstí 2287/3, 350 02 Cheb</t>
  </si>
  <si>
    <t>Zkrácený popis</t>
  </si>
  <si>
    <t>Rozměry</t>
  </si>
  <si>
    <t>Zemní práce</t>
  </si>
  <si>
    <t>Dočištění stěny</t>
  </si>
  <si>
    <t>28,5;viz zaterplení pod terénem;   </t>
  </si>
  <si>
    <t>Hloubené vykopávky</t>
  </si>
  <si>
    <t xml:space="preserve">Ruční odkopání kolem objektu		</t>
  </si>
  <si>
    <t>(14+24+26+31)*0,5*0,3;odkop zeminy;   </t>
  </si>
  <si>
    <t>Přemístění výkopku</t>
  </si>
  <si>
    <t>Nakládání výkopku z hor.1-4 v množství do 100 m3</t>
  </si>
  <si>
    <t>14,25;viz odkop;   </t>
  </si>
  <si>
    <t>-10,25;viz zásyp;   </t>
  </si>
  <si>
    <t>Vodorovné přemístění výkopku z hor.1-4 do 10000 m</t>
  </si>
  <si>
    <t>4;viz nakládání;   </t>
  </si>
  <si>
    <t>Konstrukce ze zemin</t>
  </si>
  <si>
    <t>Zásyp jam, rýh, šachet se zhutněním</t>
  </si>
  <si>
    <t>14,24   </t>
  </si>
  <si>
    <t>-(14+24+26+31)*0,14*0,3;zásyp;   </t>
  </si>
  <si>
    <t>Uložení sypaniny na skládku</t>
  </si>
  <si>
    <t>Poplatek za skládku</t>
  </si>
  <si>
    <t>Manipulace s nábytkem</t>
  </si>
  <si>
    <t>Manipulace s nábytkem včetně zpětného osazení po úklidu prostor</t>
  </si>
  <si>
    <t>1;nábytek;   </t>
  </si>
  <si>
    <t>Kryty pozemních komunikací, letišť a ploch dlážděných (předlažby)</t>
  </si>
  <si>
    <t>Chodník z dlažby betonové, podklad štěrkodrť</t>
  </si>
  <si>
    <t>(22+26+31+15)*0,6;OCH;   </t>
  </si>
  <si>
    <t>Úprava povrchů vnitřní</t>
  </si>
  <si>
    <t>Začištění omítek kolem oken a dveří</t>
  </si>
  <si>
    <t>184,84;viz APU lišta;   </t>
  </si>
  <si>
    <t>Omítka vápenná vnitřního ostění - štuková</t>
  </si>
  <si>
    <t>184,84*0,5;omítka vnitřního ostění;   </t>
  </si>
  <si>
    <t>Úprava povrchů vnější</t>
  </si>
  <si>
    <t>Doplňky zatepl. systémů, dilatační lišta s tkan.</t>
  </si>
  <si>
    <t>4,5*2;SR;   </t>
  </si>
  <si>
    <t xml:space="preserve">Zateplovací systém, sokl, XPS tl. 140 mm bez omítky - pod terénem		</t>
  </si>
  <si>
    <t>(14+24+26+31)*0,3   </t>
  </si>
  <si>
    <t xml:space="preserve">Zateplovací systém, sokl, XPS tl. 140 mm zakončený stěrkou s výztužnou tkaninou - nad terénem		</t>
  </si>
  <si>
    <t>(14+24+26+31)*0,5   </t>
  </si>
  <si>
    <t>Zatepl.syst., fasáda, miner.desky tl. 140 mm s omítkou Silikon probarvená., zrno 2mm</t>
  </si>
  <si>
    <t>(14+24+26+31)*1   omítka probarvená zrnitost 2mm, cenu určit za odstín s příplatkem 1</t>
  </si>
  <si>
    <t>Zateplovací systém, fasáda, EPS F tl.140 mm s omítkou Silikon probarvená., zrno 2mm</t>
  </si>
  <si>
    <t>(14+24+26+31)*3,5   omítka probarvená zrnitost 2mm, cenu určit za odstín s příplatkem 1</t>
  </si>
  <si>
    <t>-(1,5*2,4+2,4*2,4+1,65*1,97*2+2,4*2,1*4+1,5*2,1)   </t>
  </si>
  <si>
    <t>-(0,9*1,8*3+1,2*1,8*4+1,9*3,1+6,6*2,4+2,4*2,4*7)   </t>
  </si>
  <si>
    <t>11*0,7   </t>
  </si>
  <si>
    <t>Zatepl.systém, ostění a nadpraží, EPS tl. 30 mm probarvená., zrno 2mm</t>
  </si>
  <si>
    <t>2,4*3*0,3*7;O4;   omítka probarvená zrnitost 2mm, cenu určit za odstín s příplatkem 1</t>
  </si>
  <si>
    <t>2,4*3*0,3*1;O4k;   </t>
  </si>
  <si>
    <t>(1,5+2,4*2)*0,3*1;O6;   </t>
  </si>
  <si>
    <t>(0,9+1,2*2)*0,3*4;O14;   </t>
  </si>
  <si>
    <t>(0,9+1,8*2)*0,3*2;O15;   </t>
  </si>
  <si>
    <t>(6,6+2,4*2)*0,3*1;O16;   </t>
  </si>
  <si>
    <t>;níže stávající výplně;   </t>
  </si>
  <si>
    <t>(1,65+1,97*2)*0,3*2   </t>
  </si>
  <si>
    <t>(2,4+1,8*2)*0,3*4   </t>
  </si>
  <si>
    <t>(1,5+1,8*2)*0,3*1   </t>
  </si>
  <si>
    <t>(0,9+1,8*2)*0,3*3   </t>
  </si>
  <si>
    <t>(1,2+1,8*2)*0,3*4   </t>
  </si>
  <si>
    <t>(1,8+3,1*2)*0,3*1   </t>
  </si>
  <si>
    <t>Zateplovací systém, parapet, XPS tl. 30 mm</t>
  </si>
  <si>
    <t>51,3*0,3;viz oplechování parapetů;   </t>
  </si>
  <si>
    <t xml:space="preserve">Potažení vnějších stěn sklotex. pletivem, vypnutí - od soklu do výšky 2m		</t>
  </si>
  <si>
    <t>(14+24+26+31)*2;   </t>
  </si>
  <si>
    <t>Zakrývání výplní vnějších otvorů z lešení</t>
  </si>
  <si>
    <t>73,08;viz montáž výplní otvorů;   </t>
  </si>
  <si>
    <t>1,65*1,97*2   </t>
  </si>
  <si>
    <t>2,4*1,8*4   </t>
  </si>
  <si>
    <t>1,5*1,8*1   </t>
  </si>
  <si>
    <t>0,9*1,8*3   </t>
  </si>
  <si>
    <t>1,2*1,8*4   </t>
  </si>
  <si>
    <t>1,8*3,1*1   </t>
  </si>
  <si>
    <t xml:space="preserve">Omítka stěn marmolit		</t>
  </si>
  <si>
    <t>49,875;viz zateplení soklu;   </t>
  </si>
  <si>
    <t>Montáž výztužné lišty okenní a podparapetní</t>
  </si>
  <si>
    <t>56,4;viz lišta okenní;   </t>
  </si>
  <si>
    <t>51,3;viz profil pod parapet;   </t>
  </si>
  <si>
    <t>Lišta okenní s tkaninou</t>
  </si>
  <si>
    <t>2,4*7;O4;   </t>
  </si>
  <si>
    <t>2,4*1;O4k;   </t>
  </si>
  <si>
    <t>1,5*1;O6;   </t>
  </si>
  <si>
    <t>0,9*4;O14;   </t>
  </si>
  <si>
    <t>0,9*2;O15;   </t>
  </si>
  <si>
    <t>6,6*1;O16;   </t>
  </si>
  <si>
    <t>1,65*2   </t>
  </si>
  <si>
    <t>2,4*4   </t>
  </si>
  <si>
    <t>1,5*1   </t>
  </si>
  <si>
    <t>0,9*3   </t>
  </si>
  <si>
    <t>1,2*4   </t>
  </si>
  <si>
    <t>1,8*1   </t>
  </si>
  <si>
    <t>Profil okenní pod parapet vč. lep. pásky</t>
  </si>
  <si>
    <t>51,3;viz oplechování parapetů;   </t>
  </si>
  <si>
    <t>Montáž výztužné lišty rohové</t>
  </si>
  <si>
    <t>122,08;viz lišta rohová;   </t>
  </si>
  <si>
    <t>Lišta rohová s tkaninou</t>
  </si>
  <si>
    <t>2,4*2*7;O4;   </t>
  </si>
  <si>
    <t>2,4*2*1;O4k;   </t>
  </si>
  <si>
    <t>2,4*2*1;O6;   </t>
  </si>
  <si>
    <t>1,2*2*4;O14;   </t>
  </si>
  <si>
    <t>1,8*2*2;O15;   </t>
  </si>
  <si>
    <t>2,4*2*1;O16;   </t>
  </si>
  <si>
    <t>1,97*2*2   </t>
  </si>
  <si>
    <t>1,8*2*4   </t>
  </si>
  <si>
    <t>1,8*2*1   </t>
  </si>
  <si>
    <t>1,8*2*3   </t>
  </si>
  <si>
    <t>3,1*2*1   </t>
  </si>
  <si>
    <t>Příplatek za okenní lištu (APU) - montáž, včetně dodávky lišty</t>
  </si>
  <si>
    <t>56,4;viz okenní lišta;   </t>
  </si>
  <si>
    <t>122,08;viz rohová lišta;   </t>
  </si>
  <si>
    <t>Očištění fasád tlakovou vodou</t>
  </si>
  <si>
    <t>47,5;viz zateplení soklu nad terénem;   </t>
  </si>
  <si>
    <t>95;viz zaterplení mv;   </t>
  </si>
  <si>
    <t>53,544;viz ostění;   </t>
  </si>
  <si>
    <t>225,479;viz zateplení fasády;   </t>
  </si>
  <si>
    <t>Příplatek za styk 2 odstínů tenkovrstvých omítek</t>
  </si>
  <si>
    <t>(3+3,4+15+2,8+13+2,8+21+3,4)*2;omítka;   </t>
  </si>
  <si>
    <t>Příplatek k položkám za 1. barvu</t>
  </si>
  <si>
    <t>421,523;viz očištění fasád;   </t>
  </si>
  <si>
    <t>Soklová lišta hliník KZS tl. 140 mm</t>
  </si>
  <si>
    <t>(14+24+26+31);lišta zatepl. nad terénem;   </t>
  </si>
  <si>
    <t>Výplně otvorů</t>
  </si>
  <si>
    <t>Osazení parapetních desek dřevěných včetně dodávky parapetní desky</t>
  </si>
  <si>
    <t>51,3;viz demontáž;   </t>
  </si>
  <si>
    <t>51,3*0,05;prořez;   </t>
  </si>
  <si>
    <t>Izolace střech (živičné krytiny)</t>
  </si>
  <si>
    <t>Odstranění povlakové krytiny střech do 10° 1vrstvé - fólie</t>
  </si>
  <si>
    <t>31*25;B30;   </t>
  </si>
  <si>
    <t>(31+25)*0,5;B30-atika;   </t>
  </si>
  <si>
    <t>Odstranění povlakové krytiny střech do 10° 2vrstvé - asf. pásy</t>
  </si>
  <si>
    <t>803;viz odstranění fólie B30;   </t>
  </si>
  <si>
    <t>112;K3 viz B20;   </t>
  </si>
  <si>
    <t>112*2;K3 viz B20;   </t>
  </si>
  <si>
    <t>Montáž ukončovacího profilu</t>
  </si>
  <si>
    <t>Profil ukončovací</t>
  </si>
  <si>
    <t>112;viz montáž;   </t>
  </si>
  <si>
    <t>Komínek odvětrání kanalizace s manžetou z PVC</t>
  </si>
  <si>
    <t>2;K6;   </t>
  </si>
  <si>
    <t>Dodávka a osazení střešní vpusti</t>
  </si>
  <si>
    <t>2;K5;   </t>
  </si>
  <si>
    <t>Povlaková krytina střech do 10°,samolepicím pásem</t>
  </si>
  <si>
    <t>803;viz odstranění;   </t>
  </si>
  <si>
    <t>803*1,05;prořez;   </t>
  </si>
  <si>
    <t>Povlaková krytina střech do 10°, podklad. textilie</t>
  </si>
  <si>
    <t>Mont.povlakové krytiny střech do 30°fólií kotvením</t>
  </si>
  <si>
    <t>Přesun hmot pro povlakové krytiny, výšky do 6 m</t>
  </si>
  <si>
    <t>5,37096;viz hmotnost;   </t>
  </si>
  <si>
    <t>Izolace tepelné</t>
  </si>
  <si>
    <t>Odstr.tep.izol.střech pl,kotv,minerál tl.100-200mm</t>
  </si>
  <si>
    <t>Izolace tepelná střech do tl.160 mm,1vrstva,kotvy</t>
  </si>
  <si>
    <t>31*25;SCH1;   </t>
  </si>
  <si>
    <t>(31+25)*0,5;SCH1-atika;   </t>
  </si>
  <si>
    <t>Deska izolační polystyrén samozhášivý EPS 200</t>
  </si>
  <si>
    <t>31*25*0,24;SCH1;   </t>
  </si>
  <si>
    <t>(31+25)*2*0,5*0,08;SCH1-atika;   </t>
  </si>
  <si>
    <t>19,48*0,02;prořez;   </t>
  </si>
  <si>
    <t>Přesun hmot pro izolace tepelné, výšky do 6 m</t>
  </si>
  <si>
    <t>5,72609;viz hmotnost;   </t>
  </si>
  <si>
    <t>Vnitřní kanalizace</t>
  </si>
  <si>
    <t>Demontáž střešní vpusti</t>
  </si>
  <si>
    <t>2;B23;   </t>
  </si>
  <si>
    <t>Vzduchotechnika</t>
  </si>
  <si>
    <t>Demontáž mřížky větrací nebo ventilač. do d 100 mm</t>
  </si>
  <si>
    <t>6+13+10+13;B7;   </t>
  </si>
  <si>
    <t>Demontáž ventilační turbíny včetně oplechování</t>
  </si>
  <si>
    <t>3;B24;   </t>
  </si>
  <si>
    <t>Ventilační turbína včetně oplechování konstrukce</t>
  </si>
  <si>
    <t>3;K7;   </t>
  </si>
  <si>
    <t>Montáž protidešť. žaluzie čtyřhranné do 0,15 m2</t>
  </si>
  <si>
    <t>42;M1;   </t>
  </si>
  <si>
    <t>5;M2;   </t>
  </si>
  <si>
    <t>Mřížka protidešťová 150x150mm</t>
  </si>
  <si>
    <t>Mřížka protidešťová 700x400mm</t>
  </si>
  <si>
    <t>1;M3;   </t>
  </si>
  <si>
    <t>Mřížka protidešťová 400x250mm</t>
  </si>
  <si>
    <t>2;M4;   </t>
  </si>
  <si>
    <t>Mřížka protidešťová 800x150mm</t>
  </si>
  <si>
    <t>Demontáž mřížky větrací nebo ventilač.nad d 500 mm</t>
  </si>
  <si>
    <t>5;B7;   </t>
  </si>
  <si>
    <t>1;B7;   </t>
  </si>
  <si>
    <t>Demontáž mřížky větrací nebo ventilač. do d 500 mm</t>
  </si>
  <si>
    <t>2;B7;   </t>
  </si>
  <si>
    <t>Přesun hmot pro vzduchotechniku, výšky do 6 m</t>
  </si>
  <si>
    <t>0,03075;viz hmornost;   </t>
  </si>
  <si>
    <t>Konstrukce tesařské</t>
  </si>
  <si>
    <t>Podlaha z desek dřevotřískových přibíjená</t>
  </si>
  <si>
    <t>775;viz střecha;   </t>
  </si>
  <si>
    <t>Deska dřevoštěpková OSB 3 N tl. 22 mm</t>
  </si>
  <si>
    <t>775*0,08;prořez;   </t>
  </si>
  <si>
    <t>Položení polštářů pod podlahy rozteče do 65 cm, včetně dodávky řeziva</t>
  </si>
  <si>
    <t>837;viz OSB desky;   </t>
  </si>
  <si>
    <t>Přesun hmot pro tesařské konstrukce, výšky do 12 m</t>
  </si>
  <si>
    <t>15,93028;viz hmotnost;   </t>
  </si>
  <si>
    <t>Dřevostavby</t>
  </si>
  <si>
    <t>M.záklopu desek nad tl.18 mm</t>
  </si>
  <si>
    <t>123,2*0,5;délka viz záv. lišta;   </t>
  </si>
  <si>
    <t>Překližka vodovzdorná bříza tl. 21 mm jak. S/BB</t>
  </si>
  <si>
    <t>61,6*1,1;viz montáž krát ztratné;   </t>
  </si>
  <si>
    <t>Přesun hmot pro dřevostavby, výšky do 12 m</t>
  </si>
  <si>
    <t>0,99854;viz hmotnost;   </t>
  </si>
  <si>
    <t>Konstrukce klempířské</t>
  </si>
  <si>
    <t>Demontáž oplechování parapetů</t>
  </si>
  <si>
    <t>2,4*(1+4+7);B9;   </t>
  </si>
  <si>
    <t>0,9*(2+3+4);B36;   </t>
  </si>
  <si>
    <t>6,6;B38;   </t>
  </si>
  <si>
    <t>1,2*4;B39;   </t>
  </si>
  <si>
    <t>1,5*(1+1);B11;   </t>
  </si>
  <si>
    <t>Demontáž oplechování atiky, rš 500 mm, do 30°</t>
  </si>
  <si>
    <t>(31+25)*2;B20;   </t>
  </si>
  <si>
    <t>Demontáž oplechování stříšky a konstrukce</t>
  </si>
  <si>
    <t>1,6*0,35;B40;   </t>
  </si>
  <si>
    <t>0,6*0,9;B43;   </t>
  </si>
  <si>
    <t>Oplechování parapetů z elox. hliníku včetně doplňků</t>
  </si>
  <si>
    <t>2,4*(1+4+7);P2/E;   </t>
  </si>
  <si>
    <t>1,5*(1+1);P3/E;   </t>
  </si>
  <si>
    <t>0,9*(2+3+4);P4/E;   </t>
  </si>
  <si>
    <t>1,2*4;P7/E;   </t>
  </si>
  <si>
    <t>6,6;P8/E;   </t>
  </si>
  <si>
    <t>Oplechování stříšky a konstrukce z TiZn plechu</t>
  </si>
  <si>
    <t>1,6*0,35;K10;   </t>
  </si>
  <si>
    <t>0,6*0,9;K11;   </t>
  </si>
  <si>
    <t>Přesun hmot pro klempířské konstr., výšky do 6 m</t>
  </si>
  <si>
    <t>0,14364;viz hmotnost;   </t>
  </si>
  <si>
    <t>Krytina tvrdá</t>
  </si>
  <si>
    <t>Demontáž azbestocement.čtverců, do suti</t>
  </si>
  <si>
    <t>Konstrukce truhlářské</t>
  </si>
  <si>
    <t>Montáž výplní otvorů</t>
  </si>
  <si>
    <t>2,4*2,4*7;O4;   </t>
  </si>
  <si>
    <t>2,4*2,4*1;O4k;   </t>
  </si>
  <si>
    <t>1,5*2,4*1;O6;   </t>
  </si>
  <si>
    <t>0,9*1,2*4;O14;   </t>
  </si>
  <si>
    <t>0,9*1,8*2;O15;   </t>
  </si>
  <si>
    <t>6,6*2,4*1;O16;   </t>
  </si>
  <si>
    <t>Okno plast 2,4x2,4m, 3 sklo, Umax=0,9W/m2K</t>
  </si>
  <si>
    <t>7;O4;   </t>
  </si>
  <si>
    <t>Okno plast 2,4x2,4m, 3 sklo, Umax=0,9W/m2K, dubová kůra</t>
  </si>
  <si>
    <t>1;O4k;   </t>
  </si>
  <si>
    <t>Okno plast 1,5x2,4m, 3 sklo, Umax=0,9W/m2K</t>
  </si>
  <si>
    <t>1;O6;   </t>
  </si>
  <si>
    <t>Okno plast 0,9x1,2m, 3 sklo, Umax=0,9W/m2K, dubová kůra</t>
  </si>
  <si>
    <t>4;O14;   </t>
  </si>
  <si>
    <t>Okno plast 0,9x1,8m, 3 sklo, Umax=0,9W/m2K, dubová kůra</t>
  </si>
  <si>
    <t>2;O15;   </t>
  </si>
  <si>
    <t>Okno plast 6,6x2,4m, 3 sklo, Umax=0,9W/m2K</t>
  </si>
  <si>
    <t>1;O16;   </t>
  </si>
  <si>
    <t>Přesun hmot pro truhlářské konstr., výšky do 6 m</t>
  </si>
  <si>
    <t>2,27319;viz hmotnost;   </t>
  </si>
  <si>
    <t>Konstrukce doplňkové stavební (zámečnické)</t>
  </si>
  <si>
    <t>Žebřík - demontáž, prodloužení úchytek kotvení, nátěr a zpětná montáž</t>
  </si>
  <si>
    <t>1;B22;   </t>
  </si>
  <si>
    <t>Přestřešení vchodu</t>
  </si>
  <si>
    <t>1;PŘ4;   </t>
  </si>
  <si>
    <t>Demontáž přestřešení stříšky rampy, úprava, zpětná montáž</t>
  </si>
  <si>
    <t>1;B41;   </t>
  </si>
  <si>
    <t>Přesun hmot pro zámečnické konstr., výšky do 6 m</t>
  </si>
  <si>
    <t>0,05;viz hmotnost;   </t>
  </si>
  <si>
    <t>Malby</t>
  </si>
  <si>
    <t>Malba klih.2x, 1bar.+strop,pačok 2x, míst. do 3,8m</t>
  </si>
  <si>
    <t>92,42;viz omítka vnitřního ostění;   </t>
  </si>
  <si>
    <t>Lešení a stavební výtahy</t>
  </si>
  <si>
    <t>Montáž lešení leh.řad.s podlahami,š.1,2 m, H 30 m</t>
  </si>
  <si>
    <t>(14+24+26+31)*5   </t>
  </si>
  <si>
    <t>1,2*5*4;přesahy;   </t>
  </si>
  <si>
    <t>Příplatek za každý měsíc použití lešení k pol.1042</t>
  </si>
  <si>
    <t>499*2;předpoklad 2 měsíce;   </t>
  </si>
  <si>
    <t>Demontáž lešení leh.řad.s podlahami,š.1,2 m,H 30 m</t>
  </si>
  <si>
    <t>499;viz montáž;   </t>
  </si>
  <si>
    <t>Montáž ochranné sítě z umělých vláken</t>
  </si>
  <si>
    <t>499;viz montáž lešení;   </t>
  </si>
  <si>
    <t>Příplatek za každý měsíc použití sítí k pol. 4011</t>
  </si>
  <si>
    <t>Demontáž ochranné sítě z umělých vláken</t>
  </si>
  <si>
    <t>Přesun hmot lešení samostatně budovaného</t>
  </si>
  <si>
    <t>10,16962;viz hmoznost;   </t>
  </si>
  <si>
    <t>Různé dokončovací konstrukce a práce na pozemních stavbách</t>
  </si>
  <si>
    <t>Vyčištění ostatních objektů - střecha</t>
  </si>
  <si>
    <t>803;viz krytina;   </t>
  </si>
  <si>
    <t>Čištění mytím vnějších ploch oken a dveří</t>
  </si>
  <si>
    <t>118,64;viz zakrývání;   </t>
  </si>
  <si>
    <t>Čištění mytím vnitřních ploch oken a dveří</t>
  </si>
  <si>
    <t>118,64;viz vnějších;   </t>
  </si>
  <si>
    <t>Průběžný úklid</t>
  </si>
  <si>
    <t>96,6+10,95+18,8+13,2+16,05+14,25+13,6+9,35+8,6+16,8+3,95+5,15+1,75+1,75   </t>
  </si>
  <si>
    <t>0,9+0,9+9,7+6+30,8+14,2+9,1+10,85+11,6+30,85+233,55   </t>
  </si>
  <si>
    <t>70,9+5,15+6,15+2,5+2,5+2+3,3+1,4+6,45   </t>
  </si>
  <si>
    <t>;1np;   </t>
  </si>
  <si>
    <t>Závěrečný úklid bez mytí oken a dveří</t>
  </si>
  <si>
    <t>689,6;viz průběžný úklid;   </t>
  </si>
  <si>
    <t>Bourání konstrukcí</t>
  </si>
  <si>
    <t>Bourání betonových okapových chodníčků</t>
  </si>
  <si>
    <t>(22+26+31+15)*0,6*0,15;B2;   </t>
  </si>
  <si>
    <t>Vyvěšení dřevěných okenních křídel pl. do 1,5 m2</t>
  </si>
  <si>
    <t>3*(1+7);B8;   </t>
  </si>
  <si>
    <t>1*4;B35;   </t>
  </si>
  <si>
    <t>10*1;B37;   </t>
  </si>
  <si>
    <t>1*1;B10;   </t>
  </si>
  <si>
    <t>Vyvěšení dřevěných okenních křídel pl. nad 1,5 m2</t>
  </si>
  <si>
    <t>1*(1+7);B8;   </t>
  </si>
  <si>
    <t>2*1;B37;   </t>
  </si>
  <si>
    <t>Vybourání dřevěných rámů oken jednoduch. nad 4 m2</t>
  </si>
  <si>
    <t>2,4*2,4*(1+7);B8;   </t>
  </si>
  <si>
    <t>Vybourání dřevěných rámů oken jednoduch. pl. 4 m2</t>
  </si>
  <si>
    <t>1,5*2,4*1;B10;   </t>
  </si>
  <si>
    <t>Demontáž hlavic kanalizace</t>
  </si>
  <si>
    <t>2;B25;   </t>
  </si>
  <si>
    <t>Vybourání dřevěných rámů oken jednoduch. pl. 1 m2</t>
  </si>
  <si>
    <t>0,9*1,2*5;B35;   </t>
  </si>
  <si>
    <t>Přisekání plošné zdiva cihelného na MVC tl. 10 cm - podparapetní zdivo</t>
  </si>
  <si>
    <t>2,4*0,3*4+1,5*0,3   </t>
  </si>
  <si>
    <t>0,9*0,3*3+1,2*0,3*4   </t>
  </si>
  <si>
    <t>;přisekání podpar. zdiva pro vložení tep. izolace;   </t>
  </si>
  <si>
    <t>Bourání parapetů dřevěných</t>
  </si>
  <si>
    <t>51,3;viz vnější parapety;   </t>
  </si>
  <si>
    <t>Prorážení otvorů a ostatní bourací práce</t>
  </si>
  <si>
    <t>Odsekání vnějších obkladů stěn nad 2 m2</t>
  </si>
  <si>
    <t>(3*0,5+14*0,2+25*0,7+14*0,3+9*0,3+31*0,3);B1;   </t>
  </si>
  <si>
    <t>Ostatní přesuny hmot</t>
  </si>
  <si>
    <t>Přesun hmot pro opravy a údržbu do výšky 12 m</t>
  </si>
  <si>
    <t>55,12941;viz hmotnost;   </t>
  </si>
  <si>
    <t>Osetí povrchu trávou</t>
  </si>
  <si>
    <t>Osetí povrchu trávou včetně dodávky osiva</t>
  </si>
  <si>
    <t>56,4;viz chodník;   </t>
  </si>
  <si>
    <t>Přesuny sutí</t>
  </si>
  <si>
    <t>Vnitrostaveništní doprava suti do 10 m</t>
  </si>
  <si>
    <t>72,91;viz hmotnost;   </t>
  </si>
  <si>
    <t>Vodorovná doprava suti po suchu do 50 m</t>
  </si>
  <si>
    <t>Nakládání vybour.hmot na doprav.prostředky</t>
  </si>
  <si>
    <t>Odvoz suti a vybour. hmot na skládku do 1 km</t>
  </si>
  <si>
    <t>Příplatek k odvozu za každý další 1 km</t>
  </si>
  <si>
    <t>72,91*19;viz hmotnost-odvoz celkem do 20km;   </t>
  </si>
  <si>
    <t>Poplatek za skládku suti - asfaltové pásy</t>
  </si>
  <si>
    <t>12,848;viz hmotnost;   </t>
  </si>
  <si>
    <t>Poplatek za skládku suti -azbestocementové výrobky</t>
  </si>
  <si>
    <t>10,85;viz hmotnost;   </t>
  </si>
  <si>
    <t>Poplatek za skládku suti - minerální vata</t>
  </si>
  <si>
    <t>23,25;viz hmotnost;   </t>
  </si>
  <si>
    <t>Poplatek za skládku stavební suti</t>
  </si>
  <si>
    <t>25,962;viz hmotnost;   </t>
  </si>
  <si>
    <t>Doba výstavby:</t>
  </si>
  <si>
    <t>Začátek výstavby:</t>
  </si>
  <si>
    <t>Konec výstavby:</t>
  </si>
  <si>
    <t>Zpracováno dne:</t>
  </si>
  <si>
    <t>15.10.2019</t>
  </si>
  <si>
    <t>MJ</t>
  </si>
  <si>
    <t>m2</t>
  </si>
  <si>
    <t>m3</t>
  </si>
  <si>
    <t>kompl</t>
  </si>
  <si>
    <t>m</t>
  </si>
  <si>
    <t>kus</t>
  </si>
  <si>
    <t>t</t>
  </si>
  <si>
    <t>Množství</t>
  </si>
  <si>
    <t>Objednatel:</t>
  </si>
  <si>
    <t>Projektant:</t>
  </si>
  <si>
    <t>Zhotovitel:</t>
  </si>
  <si>
    <t>Zpracoval:</t>
  </si>
  <si>
    <t>Cena/MJ</t>
  </si>
  <si>
    <t>(Kč)</t>
  </si>
  <si>
    <t>Město Cheb</t>
  </si>
  <si>
    <t>Kamila Možná</t>
  </si>
  <si>
    <t>Dle výběrového řízení</t>
  </si>
  <si>
    <t>Náklady (Kč)</t>
  </si>
  <si>
    <t>Dodávka</t>
  </si>
  <si>
    <t>Celkem:</t>
  </si>
  <si>
    <t>Montáž</t>
  </si>
  <si>
    <t>Celkem</t>
  </si>
  <si>
    <t>Cenová</t>
  </si>
  <si>
    <t>soustava</t>
  </si>
  <si>
    <t>RTS II / 2019</t>
  </si>
  <si>
    <t>RTS I / 2020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</si>
  <si>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</si>
  <si>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</si>
  <si>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</si>
  <si>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</si>
  <si>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</si>
  <si>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</si>
  <si>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</si>
  <si>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</si>
  <si>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</si>
  <si>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1_</t>
  </si>
  <si>
    <t>13_</t>
  </si>
  <si>
    <t>16_</t>
  </si>
  <si>
    <t>17_</t>
  </si>
  <si>
    <t>2_</t>
  </si>
  <si>
    <t>59_</t>
  </si>
  <si>
    <t>61_</t>
  </si>
  <si>
    <t>62_</t>
  </si>
  <si>
    <t>64_</t>
  </si>
  <si>
    <t>712_</t>
  </si>
  <si>
    <t>713_</t>
  </si>
  <si>
    <t>721_</t>
  </si>
  <si>
    <t>728_</t>
  </si>
  <si>
    <t>762_</t>
  </si>
  <si>
    <t>763_</t>
  </si>
  <si>
    <t>764_</t>
  </si>
  <si>
    <t>765_</t>
  </si>
  <si>
    <t>766_</t>
  </si>
  <si>
    <t>767_</t>
  </si>
  <si>
    <t>784_</t>
  </si>
  <si>
    <t>94_</t>
  </si>
  <si>
    <t>95_</t>
  </si>
  <si>
    <t>96_</t>
  </si>
  <si>
    <t>97_</t>
  </si>
  <si>
    <t>H99_</t>
  </si>
  <si>
    <t>M46_</t>
  </si>
  <si>
    <t>S_</t>
  </si>
  <si>
    <t>5_</t>
  </si>
  <si>
    <t>6_</t>
  </si>
  <si>
    <t>71_</t>
  </si>
  <si>
    <t>72_</t>
  </si>
  <si>
    <t>76_</t>
  </si>
  <si>
    <t>78_</t>
  </si>
  <si>
    <t>9_</t>
  </si>
  <si>
    <t>_</t>
  </si>
  <si>
    <t>MAT</t>
  </si>
  <si>
    <t>WORK</t>
  </si>
  <si>
    <t>CELK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</si>
  <si>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</si>
  <si>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</si>
  <si>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</si>
  <si>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</si>
  <si>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</si>
  <si>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</si>
  <si>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</si>
  <si>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</si>
  <si>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</si>
  <si>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</si>
  <si>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</si>
  <si>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</si>
  <si>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</si>
  <si>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</si>
  <si>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</si>
  <si>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</si>
  <si>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</si>
  <si>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</si>
  <si>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</si>
  <si>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</si>
  <si>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</si>
  <si>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</si>
  <si>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</si>
  <si>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</si>
  <si>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</si>
  <si>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</si>
  <si>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</si>
  <si>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</si>
  <si>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</si>
  <si>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</si>
  <si>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</si>
  <si>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</si>
  <si>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</si>
  <si>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</si>
  <si>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</si>
  <si>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</si>
  <si>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</si>
  <si>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</si>
  <si>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</si>
  <si>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</si>
  <si>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</si>
  <si>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</si>
  <si>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</si>
  <si>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</si>
  <si>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Závětrná lišta z poplastovaného plechu rš 250 mm</t>
  </si>
  <si>
    <t>Rohová lišta vnější z poplastovaného plechu RŠ 100 mm</t>
  </si>
  <si>
    <t>Rohová lišta vnitřní z poplastovaného plechu RŠ 100 mm</t>
  </si>
  <si>
    <t>Pás modif. asfalt samolep s vložkou ze skleněné tkaniny tl. 3mm</t>
  </si>
  <si>
    <t>803</t>
  </si>
  <si>
    <t>Geotextilie netkaná 300 g/m2</t>
  </si>
  <si>
    <t>Fólie izolační PVC-P s výztužnou vložkou PES, tl. 1,5 mm</t>
  </si>
  <si>
    <t>Elektromontáže</t>
  </si>
  <si>
    <t>viz samostatný rozpočet Elektroinstalace Objekt 4</t>
  </si>
  <si>
    <t>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</si>
</sst>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8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20" xfId="0" applyNumberFormat="1" applyFont="1" applyFill="1" applyBorder="1" applyAlignment="1" applyProtection="1">
      <alignment horizontal="center" vertical="center"/>
    </xf>
    <xf numFmtId="49" fontId="3" fillId="0" borderId="22" xfId="0" applyNumberFormat="1" applyFont="1" applyFill="1" applyBorder="1" applyAlignment="1" applyProtection="1">
      <alignment horizontal="center" vertical="center"/>
    </xf>
    <xf numFmtId="49" fontId="3" fillId="0" borderId="25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8" fillId="2" borderId="7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7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8" xfId="0" applyNumberFormat="1" applyFont="1" applyFill="1" applyBorder="1" applyAlignment="1" applyProtection="1">
      <alignment horizontal="right" vertical="center"/>
    </xf>
    <xf numFmtId="49" fontId="11" fillId="3" borderId="30" xfId="0" applyNumberFormat="1" applyFont="1" applyFill="1" applyBorder="1" applyAlignment="1" applyProtection="1">
      <alignment horizontal="center" vertical="center"/>
    </xf>
    <xf numFmtId="49" fontId="12" fillId="0" borderId="31" xfId="0" applyNumberFormat="1" applyFont="1" applyFill="1" applyBorder="1" applyAlignment="1" applyProtection="1">
      <alignment horizontal="left" vertical="center"/>
    </xf>
    <xf numFmtId="49" fontId="12" fillId="0" borderId="32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vertical="center"/>
    </xf>
    <xf numFmtId="49" fontId="7" fillId="0" borderId="7" xfId="0" applyNumberFormat="1" applyFont="1" applyFill="1" applyBorder="1" applyAlignment="1" applyProtection="1">
      <alignment horizontal="left" vertical="center"/>
    </xf>
    <xf numFmtId="49" fontId="13" fillId="0" borderId="30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vertical="center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28" xfId="0" applyNumberFormat="1" applyFont="1" applyFill="1" applyBorder="1" applyAlignment="1" applyProtection="1">
      <alignment vertical="center"/>
    </xf>
    <xf numFmtId="4" fontId="13" fillId="0" borderId="30" xfId="0" applyNumberFormat="1" applyFont="1" applyFill="1" applyBorder="1" applyAlignment="1" applyProtection="1">
      <alignment horizontal="right" vertical="center"/>
    </xf>
    <xf numFmtId="49" fontId="13" fillId="0" borderId="30" xfId="0" applyNumberFormat="1" applyFont="1" applyFill="1" applyBorder="1" applyAlignment="1" applyProtection="1">
      <alignment horizontal="right" vertical="center"/>
    </xf>
    <xf numFmtId="4" fontId="13" fillId="0" borderId="20" xfId="0" applyNumberFormat="1" applyFont="1" applyFill="1" applyBorder="1" applyAlignment="1" applyProtection="1">
      <alignment horizontal="righ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33" xfId="0" applyNumberFormat="1" applyFont="1" applyFill="1" applyBorder="1" applyAlignment="1" applyProtection="1">
      <alignment vertical="center"/>
    </xf>
    <xf numFmtId="4" fontId="12" fillId="3" borderId="37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/>
    </xf>
    <xf numFmtId="49" fontId="3" fillId="0" borderId="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12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8" fillId="2" borderId="7" xfId="0" applyNumberFormat="1" applyFont="1" applyFill="1" applyBorder="1" applyAlignment="1" applyProtection="1">
      <alignment horizontal="left" vertical="center"/>
    </xf>
    <xf numFmtId="0" fontId="8" fillId="2" borderId="7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 wrapText="1"/>
    </xf>
    <xf numFmtId="0" fontId="1" fillId="0" borderId="23" xfId="0" applyNumberFormat="1" applyFont="1" applyFill="1" applyBorder="1" applyAlignment="1" applyProtection="1">
      <alignment horizontal="left" vertical="center"/>
    </xf>
    <xf numFmtId="49" fontId="13" fillId="0" borderId="27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0" borderId="39" xfId="0" applyNumberFormat="1" applyFont="1" applyFill="1" applyBorder="1" applyAlignment="1" applyProtection="1">
      <alignment horizontal="left" vertical="center"/>
    </xf>
    <xf numFmtId="49" fontId="13" fillId="0" borderId="36" xfId="0" applyNumberFormat="1" applyFont="1" applyFill="1" applyBorder="1" applyAlignment="1" applyProtection="1">
      <alignment horizontal="left" vertical="center"/>
    </xf>
    <xf numFmtId="0" fontId="13" fillId="0" borderId="9" xfId="0" applyNumberFormat="1" applyFont="1" applyFill="1" applyBorder="1" applyAlignment="1" applyProtection="1">
      <alignment horizontal="left" vertical="center"/>
    </xf>
    <xf numFmtId="0" fontId="13" fillId="0" borderId="40" xfId="0" applyNumberFormat="1" applyFont="1" applyFill="1" applyBorder="1" applyAlignment="1" applyProtection="1">
      <alignment horizontal="left" vertical="center"/>
    </xf>
    <xf numFmtId="49" fontId="12" fillId="3" borderId="33" xfId="0" applyNumberFormat="1" applyFont="1" applyFill="1" applyBorder="1" applyAlignment="1" applyProtection="1">
      <alignment horizontal="left" vertical="center"/>
    </xf>
    <xf numFmtId="0" fontId="12" fillId="3" borderId="29" xfId="0" applyNumberFormat="1" applyFont="1" applyFill="1" applyBorder="1" applyAlignment="1" applyProtection="1">
      <alignment horizontal="left" vertical="center"/>
    </xf>
    <xf numFmtId="49" fontId="13" fillId="0" borderId="35" xfId="0" applyNumberFormat="1" applyFont="1" applyFill="1" applyBorder="1" applyAlignment="1" applyProtection="1">
      <alignment horizontal="left" vertical="center"/>
    </xf>
    <xf numFmtId="0" fontId="13" fillId="0" borderId="7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2" fillId="0" borderId="33" xfId="0" applyNumberFormat="1" applyFont="1" applyFill="1" applyBorder="1" applyAlignment="1" applyProtection="1">
      <alignment horizontal="left" vertical="center"/>
    </xf>
    <xf numFmtId="0" fontId="12" fillId="0" borderId="37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3" fillId="0" borderId="37" xfId="0" applyNumberFormat="1" applyFont="1" applyFill="1" applyBorder="1" applyAlignment="1" applyProtection="1">
      <alignment horizontal="left" vertical="center"/>
    </xf>
    <xf numFmtId="49" fontId="10" fillId="0" borderId="29" xfId="0" applyNumberFormat="1" applyFont="1" applyFill="1" applyBorder="1" applyAlignment="1" applyProtection="1">
      <alignment horizontal="center" vertical="center"/>
    </xf>
    <xf numFmtId="0" fontId="10" fillId="0" borderId="29" xfId="0" applyNumberFormat="1" applyFont="1" applyFill="1" applyBorder="1" applyAlignment="1" applyProtection="1">
      <alignment horizontal="center" vertical="center"/>
    </xf>
    <xf numFmtId="49" fontId="14" fillId="0" borderId="33" xfId="0" applyNumberFormat="1" applyFont="1" applyFill="1" applyBorder="1" applyAlignment="1" applyProtection="1">
      <alignment horizontal="left" vertical="center"/>
    </xf>
    <xf numFmtId="0" fontId="14" fillId="0" borderId="37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horizontal="left" vertical="center" wrapText="1"/>
    </xf>
    <xf numFmtId="0" fontId="1" fillId="0" borderId="4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78"/>
  <sheetViews>
    <sheetView tabSelected="1" zoomScale="85" zoomScaleNormal="85" workbookViewId="0">
      <pane ySplit="11" topLeftCell="A24" activePane="bottomLeft" state="frozenSplit"/>
      <selection pane="bottomLeft" activeCell="H37" sqref="H37"/>
    </sheetView>
  </sheetViews>
  <sheetFormatPr defaultColWidth="11.5703125" defaultRowHeight="12.75" x14ac:dyDescent="0.2"/>
  <cols>
    <col min="1" max="1" width="3.7109375" customWidth="1"/>
    <col min="2" max="2" width="14.28515625" customWidth="1"/>
    <col min="3" max="3" width="81.7109375" customWidth="1"/>
    <col min="6" max="6" width="5.85546875" customWidth="1"/>
    <col min="7" max="7" width="12.85546875" customWidth="1"/>
    <col min="8" max="8" width="12" customWidth="1"/>
    <col min="9" max="11" width="14.28515625" customWidth="1"/>
    <col min="12" max="12" width="11.7109375" customWidth="1"/>
    <col min="25" max="62" width="12.140625" hidden="1" customWidth="1"/>
  </cols>
  <sheetData>
    <row r="1" spans="1:62" ht="72.95" customHeight="1" x14ac:dyDescent="0.3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62" x14ac:dyDescent="0.2">
      <c r="A2" s="89" t="s">
        <v>1</v>
      </c>
      <c r="B2" s="90"/>
      <c r="C2" s="92" t="s">
        <v>269</v>
      </c>
      <c r="D2" s="94" t="s">
        <v>607</v>
      </c>
      <c r="E2" s="90"/>
      <c r="F2" s="94" t="s">
        <v>6</v>
      </c>
      <c r="G2" s="90"/>
      <c r="H2" s="95" t="s">
        <v>620</v>
      </c>
      <c r="I2" s="95" t="s">
        <v>626</v>
      </c>
      <c r="J2" s="90"/>
      <c r="K2" s="90"/>
      <c r="L2" s="96"/>
      <c r="M2" s="30"/>
    </row>
    <row r="3" spans="1:62" x14ac:dyDescent="0.2">
      <c r="A3" s="91"/>
      <c r="B3" s="57"/>
      <c r="C3" s="93"/>
      <c r="D3" s="57"/>
      <c r="E3" s="57"/>
      <c r="F3" s="57"/>
      <c r="G3" s="57"/>
      <c r="H3" s="57"/>
      <c r="I3" s="57"/>
      <c r="J3" s="57"/>
      <c r="K3" s="57"/>
      <c r="L3" s="85"/>
      <c r="M3" s="30"/>
    </row>
    <row r="4" spans="1:62" x14ac:dyDescent="0.2">
      <c r="A4" s="81" t="s">
        <v>2</v>
      </c>
      <c r="B4" s="57"/>
      <c r="C4" s="56" t="s">
        <v>270</v>
      </c>
      <c r="D4" s="84" t="s">
        <v>608</v>
      </c>
      <c r="E4" s="57"/>
      <c r="F4" s="84" t="s">
        <v>6</v>
      </c>
      <c r="G4" s="57"/>
      <c r="H4" s="56" t="s">
        <v>621</v>
      </c>
      <c r="I4" s="56" t="s">
        <v>627</v>
      </c>
      <c r="J4" s="57"/>
      <c r="K4" s="57"/>
      <c r="L4" s="85"/>
      <c r="M4" s="30"/>
    </row>
    <row r="5" spans="1:62" x14ac:dyDescent="0.2">
      <c r="A5" s="91"/>
      <c r="B5" s="57"/>
      <c r="C5" s="57"/>
      <c r="D5" s="57"/>
      <c r="E5" s="57"/>
      <c r="F5" s="57"/>
      <c r="G5" s="57"/>
      <c r="H5" s="57"/>
      <c r="I5" s="57"/>
      <c r="J5" s="57"/>
      <c r="K5" s="57"/>
      <c r="L5" s="85"/>
      <c r="M5" s="30"/>
    </row>
    <row r="6" spans="1:62" x14ac:dyDescent="0.2">
      <c r="A6" s="81" t="s">
        <v>3</v>
      </c>
      <c r="B6" s="57"/>
      <c r="C6" s="56" t="s">
        <v>271</v>
      </c>
      <c r="D6" s="84" t="s">
        <v>609</v>
      </c>
      <c r="E6" s="57"/>
      <c r="F6" s="84" t="s">
        <v>6</v>
      </c>
      <c r="G6" s="57"/>
      <c r="H6" s="56" t="s">
        <v>622</v>
      </c>
      <c r="I6" s="56" t="s">
        <v>628</v>
      </c>
      <c r="J6" s="57"/>
      <c r="K6" s="57"/>
      <c r="L6" s="85"/>
      <c r="M6" s="30"/>
    </row>
    <row r="7" spans="1:62" x14ac:dyDescent="0.2">
      <c r="A7" s="91"/>
      <c r="B7" s="57"/>
      <c r="C7" s="57"/>
      <c r="D7" s="57"/>
      <c r="E7" s="57"/>
      <c r="F7" s="57"/>
      <c r="G7" s="57"/>
      <c r="H7" s="57"/>
      <c r="I7" s="57"/>
      <c r="J7" s="57"/>
      <c r="K7" s="57"/>
      <c r="L7" s="85"/>
      <c r="M7" s="30"/>
    </row>
    <row r="8" spans="1:62" x14ac:dyDescent="0.2">
      <c r="A8" s="81" t="s">
        <v>4</v>
      </c>
      <c r="B8" s="57"/>
      <c r="C8" s="56" t="s">
        <v>6</v>
      </c>
      <c r="D8" s="84" t="s">
        <v>610</v>
      </c>
      <c r="E8" s="57"/>
      <c r="F8" s="84" t="s">
        <v>611</v>
      </c>
      <c r="G8" s="57"/>
      <c r="H8" s="56" t="s">
        <v>623</v>
      </c>
      <c r="I8" s="56" t="s">
        <v>627</v>
      </c>
      <c r="J8" s="57"/>
      <c r="K8" s="57"/>
      <c r="L8" s="85"/>
      <c r="M8" s="30"/>
    </row>
    <row r="9" spans="1:62" x14ac:dyDescent="0.2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6"/>
      <c r="M9" s="30"/>
    </row>
    <row r="10" spans="1:62" x14ac:dyDescent="0.2">
      <c r="A10" s="1" t="s">
        <v>5</v>
      </c>
      <c r="B10" s="10" t="s">
        <v>132</v>
      </c>
      <c r="C10" s="70" t="s">
        <v>272</v>
      </c>
      <c r="D10" s="71"/>
      <c r="E10" s="72"/>
      <c r="F10" s="10" t="s">
        <v>612</v>
      </c>
      <c r="G10" s="14" t="s">
        <v>619</v>
      </c>
      <c r="H10" s="19" t="s">
        <v>624</v>
      </c>
      <c r="I10" s="73" t="s">
        <v>629</v>
      </c>
      <c r="J10" s="74"/>
      <c r="K10" s="75"/>
      <c r="L10" s="24" t="s">
        <v>634</v>
      </c>
      <c r="M10" s="31"/>
    </row>
    <row r="11" spans="1:62" x14ac:dyDescent="0.2">
      <c r="A11" s="2" t="s">
        <v>6</v>
      </c>
      <c r="B11" s="11" t="s">
        <v>6</v>
      </c>
      <c r="C11" s="76" t="s">
        <v>273</v>
      </c>
      <c r="D11" s="77"/>
      <c r="E11" s="78"/>
      <c r="F11" s="11" t="s">
        <v>6</v>
      </c>
      <c r="G11" s="11" t="s">
        <v>6</v>
      </c>
      <c r="H11" s="20" t="s">
        <v>625</v>
      </c>
      <c r="I11" s="21" t="s">
        <v>630</v>
      </c>
      <c r="J11" s="22" t="s">
        <v>632</v>
      </c>
      <c r="K11" s="23" t="s">
        <v>633</v>
      </c>
      <c r="L11" s="25" t="s">
        <v>635</v>
      </c>
      <c r="M11" s="31"/>
      <c r="Z11" s="28" t="s">
        <v>638</v>
      </c>
      <c r="AA11" s="28" t="s">
        <v>639</v>
      </c>
      <c r="AB11" s="28" t="s">
        <v>640</v>
      </c>
      <c r="AC11" s="28" t="s">
        <v>641</v>
      </c>
      <c r="AD11" s="28" t="s">
        <v>642</v>
      </c>
      <c r="AE11" s="28" t="s">
        <v>643</v>
      </c>
      <c r="AF11" s="28" t="s">
        <v>644</v>
      </c>
      <c r="AG11" s="28" t="s">
        <v>645</v>
      </c>
      <c r="AH11" s="28" t="s">
        <v>646</v>
      </c>
      <c r="BH11" s="28" t="s">
        <v>682</v>
      </c>
      <c r="BI11" s="28" t="s">
        <v>683</v>
      </c>
      <c r="BJ11" s="28" t="s">
        <v>684</v>
      </c>
    </row>
    <row r="12" spans="1:62" x14ac:dyDescent="0.2">
      <c r="A12" s="3"/>
      <c r="B12" s="12" t="s">
        <v>7</v>
      </c>
      <c r="C12" s="79" t="s">
        <v>274</v>
      </c>
      <c r="D12" s="80"/>
      <c r="E12" s="80"/>
      <c r="F12" s="3" t="s">
        <v>6</v>
      </c>
      <c r="G12" s="3" t="s">
        <v>6</v>
      </c>
      <c r="H12" s="3" t="s">
        <v>6</v>
      </c>
      <c r="I12" s="34">
        <f>SUM(I13:I13)</f>
        <v>0</v>
      </c>
      <c r="J12" s="34">
        <f>SUM(J13:J13)</f>
        <v>0</v>
      </c>
      <c r="K12" s="34">
        <f>SUM(K13:K13)</f>
        <v>0</v>
      </c>
      <c r="L12" s="26"/>
      <c r="AI12" s="28"/>
      <c r="AS12" s="35">
        <f>SUM(AJ13:AJ13)</f>
        <v>0</v>
      </c>
      <c r="AT12" s="35">
        <f>SUM(AK13:AK13)</f>
        <v>0</v>
      </c>
      <c r="AU12" s="35">
        <f>SUM(AL13:AL13)</f>
        <v>0</v>
      </c>
    </row>
    <row r="13" spans="1:62" x14ac:dyDescent="0.2">
      <c r="A13" s="4" t="s">
        <v>7</v>
      </c>
      <c r="B13" s="4" t="s">
        <v>133</v>
      </c>
      <c r="C13" s="60" t="s">
        <v>275</v>
      </c>
      <c r="D13" s="61"/>
      <c r="E13" s="61"/>
      <c r="F13" s="4" t="s">
        <v>613</v>
      </c>
      <c r="G13" s="15">
        <v>28.5</v>
      </c>
      <c r="H13" s="15">
        <v>0</v>
      </c>
      <c r="I13" s="15">
        <f>G13*AO13</f>
        <v>0</v>
      </c>
      <c r="J13" s="15">
        <f>G13*AP13</f>
        <v>0</v>
      </c>
      <c r="K13" s="15">
        <f>G13*H13</f>
        <v>0</v>
      </c>
      <c r="L13" s="27" t="s">
        <v>636</v>
      </c>
      <c r="Z13" s="32">
        <f>IF(AQ13="5",BJ13,0)</f>
        <v>0</v>
      </c>
      <c r="AB13" s="32">
        <f>IF(AQ13="1",BH13,0)</f>
        <v>0</v>
      </c>
      <c r="AC13" s="32">
        <f>IF(AQ13="1",BI13,0)</f>
        <v>0</v>
      </c>
      <c r="AD13" s="32">
        <f>IF(AQ13="7",BH13,0)</f>
        <v>0</v>
      </c>
      <c r="AE13" s="32">
        <f>IF(AQ13="7",BI13,0)</f>
        <v>0</v>
      </c>
      <c r="AF13" s="32">
        <f>IF(AQ13="2",BH13,0)</f>
        <v>0</v>
      </c>
      <c r="AG13" s="32">
        <f>IF(AQ13="2",BI13,0)</f>
        <v>0</v>
      </c>
      <c r="AH13" s="32">
        <f>IF(AQ13="0",BJ13,0)</f>
        <v>0</v>
      </c>
      <c r="AI13" s="28"/>
      <c r="AJ13" s="15">
        <f>IF(AN13=0,K13,0)</f>
        <v>0</v>
      </c>
      <c r="AK13" s="15">
        <f>IF(AN13=15,K13,0)</f>
        <v>0</v>
      </c>
      <c r="AL13" s="15">
        <f>IF(AN13=21,K13,0)</f>
        <v>0</v>
      </c>
      <c r="AN13" s="32">
        <v>21</v>
      </c>
      <c r="AO13" s="32">
        <f>H13*0</f>
        <v>0</v>
      </c>
      <c r="AP13" s="32">
        <f>H13*(1-0)</f>
        <v>0</v>
      </c>
      <c r="AQ13" s="27" t="s">
        <v>7</v>
      </c>
      <c r="AV13" s="32">
        <f>AW13+AX13</f>
        <v>0</v>
      </c>
      <c r="AW13" s="32">
        <f>G13*AO13</f>
        <v>0</v>
      </c>
      <c r="AX13" s="32">
        <f>G13*AP13</f>
        <v>0</v>
      </c>
      <c r="AY13" s="33" t="s">
        <v>647</v>
      </c>
      <c r="AZ13" s="33" t="s">
        <v>647</v>
      </c>
      <c r="BA13" s="28" t="s">
        <v>681</v>
      </c>
      <c r="BC13" s="32">
        <f>AW13+AX13</f>
        <v>0</v>
      </c>
      <c r="BD13" s="32">
        <f>H13/(100-BE13)*100</f>
        <v>0</v>
      </c>
      <c r="BE13" s="32">
        <v>0</v>
      </c>
      <c r="BF13" s="32">
        <f>13</f>
        <v>13</v>
      </c>
      <c r="BH13" s="15">
        <f>G13*AO13</f>
        <v>0</v>
      </c>
      <c r="BI13" s="15">
        <f>G13*AP13</f>
        <v>0</v>
      </c>
      <c r="BJ13" s="15">
        <f>G13*H13</f>
        <v>0</v>
      </c>
    </row>
    <row r="14" spans="1:62" x14ac:dyDescent="0.2">
      <c r="C14" s="58" t="s">
        <v>276</v>
      </c>
      <c r="D14" s="59"/>
      <c r="E14" s="59"/>
      <c r="G14" s="16">
        <v>28.5</v>
      </c>
    </row>
    <row r="15" spans="1:62" x14ac:dyDescent="0.2">
      <c r="A15" s="5"/>
      <c r="B15" s="13" t="s">
        <v>19</v>
      </c>
      <c r="C15" s="66" t="s">
        <v>277</v>
      </c>
      <c r="D15" s="67"/>
      <c r="E15" s="67"/>
      <c r="F15" s="5" t="s">
        <v>6</v>
      </c>
      <c r="G15" s="5" t="s">
        <v>6</v>
      </c>
      <c r="H15" s="5" t="s">
        <v>6</v>
      </c>
      <c r="I15" s="35">
        <f>SUM(I16:I16)</f>
        <v>0</v>
      </c>
      <c r="J15" s="35">
        <f>SUM(J16:J16)</f>
        <v>0</v>
      </c>
      <c r="K15" s="35">
        <f>SUM(K16:K16)</f>
        <v>0</v>
      </c>
      <c r="L15" s="28"/>
      <c r="AI15" s="28"/>
      <c r="AS15" s="35">
        <f>SUM(AJ16:AJ16)</f>
        <v>0</v>
      </c>
      <c r="AT15" s="35">
        <f>SUM(AK16:AK16)</f>
        <v>0</v>
      </c>
      <c r="AU15" s="35">
        <f>SUM(AL16:AL16)</f>
        <v>0</v>
      </c>
    </row>
    <row r="16" spans="1:62" x14ac:dyDescent="0.2">
      <c r="A16" s="4" t="s">
        <v>8</v>
      </c>
      <c r="B16" s="4" t="s">
        <v>134</v>
      </c>
      <c r="C16" s="60" t="s">
        <v>278</v>
      </c>
      <c r="D16" s="61"/>
      <c r="E16" s="61"/>
      <c r="F16" s="4" t="s">
        <v>614</v>
      </c>
      <c r="G16" s="15">
        <v>14.25</v>
      </c>
      <c r="H16" s="15">
        <v>0</v>
      </c>
      <c r="I16" s="15">
        <f>G16*AO16</f>
        <v>0</v>
      </c>
      <c r="J16" s="15">
        <f>G16*AP16</f>
        <v>0</v>
      </c>
      <c r="K16" s="15">
        <f>G16*H16</f>
        <v>0</v>
      </c>
      <c r="L16" s="27" t="s">
        <v>636</v>
      </c>
      <c r="Z16" s="32">
        <f>IF(AQ16="5",BJ16,0)</f>
        <v>0</v>
      </c>
      <c r="AB16" s="32">
        <f>IF(AQ16="1",BH16,0)</f>
        <v>0</v>
      </c>
      <c r="AC16" s="32">
        <f>IF(AQ16="1",BI16,0)</f>
        <v>0</v>
      </c>
      <c r="AD16" s="32">
        <f>IF(AQ16="7",BH16,0)</f>
        <v>0</v>
      </c>
      <c r="AE16" s="32">
        <f>IF(AQ16="7",BI16,0)</f>
        <v>0</v>
      </c>
      <c r="AF16" s="32">
        <f>IF(AQ16="2",BH16,0)</f>
        <v>0</v>
      </c>
      <c r="AG16" s="32">
        <f>IF(AQ16="2",BI16,0)</f>
        <v>0</v>
      </c>
      <c r="AH16" s="32">
        <f>IF(AQ16="0",BJ16,0)</f>
        <v>0</v>
      </c>
      <c r="AI16" s="28"/>
      <c r="AJ16" s="15">
        <f>IF(AN16=0,K16,0)</f>
        <v>0</v>
      </c>
      <c r="AK16" s="15">
        <f>IF(AN16=15,K16,0)</f>
        <v>0</v>
      </c>
      <c r="AL16" s="15">
        <f>IF(AN16=21,K16,0)</f>
        <v>0</v>
      </c>
      <c r="AN16" s="32">
        <v>21</v>
      </c>
      <c r="AO16" s="32">
        <f>H16*0</f>
        <v>0</v>
      </c>
      <c r="AP16" s="32">
        <f>H16*(1-0)</f>
        <v>0</v>
      </c>
      <c r="AQ16" s="27" t="s">
        <v>7</v>
      </c>
      <c r="AV16" s="32">
        <f>AW16+AX16</f>
        <v>0</v>
      </c>
      <c r="AW16" s="32">
        <f>G16*AO16</f>
        <v>0</v>
      </c>
      <c r="AX16" s="32">
        <f>G16*AP16</f>
        <v>0</v>
      </c>
      <c r="AY16" s="33" t="s">
        <v>648</v>
      </c>
      <c r="AZ16" s="33" t="s">
        <v>647</v>
      </c>
      <c r="BA16" s="28" t="s">
        <v>681</v>
      </c>
      <c r="BC16" s="32">
        <f>AW16+AX16</f>
        <v>0</v>
      </c>
      <c r="BD16" s="32">
        <f>H16/(100-BE16)*100</f>
        <v>0</v>
      </c>
      <c r="BE16" s="32">
        <v>0</v>
      </c>
      <c r="BF16" s="32">
        <f>16</f>
        <v>16</v>
      </c>
      <c r="BH16" s="15">
        <f>G16*AO16</f>
        <v>0</v>
      </c>
      <c r="BI16" s="15">
        <f>G16*AP16</f>
        <v>0</v>
      </c>
      <c r="BJ16" s="15">
        <f>G16*H16</f>
        <v>0</v>
      </c>
    </row>
    <row r="17" spans="1:62" x14ac:dyDescent="0.2">
      <c r="C17" s="58" t="s">
        <v>279</v>
      </c>
      <c r="D17" s="59"/>
      <c r="E17" s="59"/>
      <c r="G17" s="16">
        <v>14.25</v>
      </c>
    </row>
    <row r="18" spans="1:62" x14ac:dyDescent="0.2">
      <c r="A18" s="5"/>
      <c r="B18" s="13" t="s">
        <v>22</v>
      </c>
      <c r="C18" s="66" t="s">
        <v>280</v>
      </c>
      <c r="D18" s="67"/>
      <c r="E18" s="67"/>
      <c r="F18" s="5" t="s">
        <v>6</v>
      </c>
      <c r="G18" s="5" t="s">
        <v>6</v>
      </c>
      <c r="H18" s="5" t="s">
        <v>6</v>
      </c>
      <c r="I18" s="35">
        <f>SUM(I19:I22)</f>
        <v>0</v>
      </c>
      <c r="J18" s="35">
        <f>SUM(J19:J22)</f>
        <v>0</v>
      </c>
      <c r="K18" s="35">
        <f>SUM(K19:K22)</f>
        <v>0</v>
      </c>
      <c r="L18" s="28"/>
      <c r="AI18" s="28"/>
      <c r="AS18" s="35">
        <f>SUM(AJ19:AJ22)</f>
        <v>0</v>
      </c>
      <c r="AT18" s="35">
        <f>SUM(AK19:AK22)</f>
        <v>0</v>
      </c>
      <c r="AU18" s="35">
        <f>SUM(AL19:AL22)</f>
        <v>0</v>
      </c>
    </row>
    <row r="19" spans="1:62" x14ac:dyDescent="0.2">
      <c r="A19" s="4" t="s">
        <v>9</v>
      </c>
      <c r="B19" s="4" t="s">
        <v>135</v>
      </c>
      <c r="C19" s="60" t="s">
        <v>281</v>
      </c>
      <c r="D19" s="61"/>
      <c r="E19" s="61"/>
      <c r="F19" s="4" t="s">
        <v>614</v>
      </c>
      <c r="G19" s="15">
        <v>4</v>
      </c>
      <c r="H19" s="15">
        <v>0</v>
      </c>
      <c r="I19" s="15">
        <f>G19*AO19</f>
        <v>0</v>
      </c>
      <c r="J19" s="15">
        <f>G19*AP19</f>
        <v>0</v>
      </c>
      <c r="K19" s="15">
        <f>G19*H19</f>
        <v>0</v>
      </c>
      <c r="L19" s="27" t="s">
        <v>636</v>
      </c>
      <c r="Z19" s="32">
        <f>IF(AQ19="5",BJ19,0)</f>
        <v>0</v>
      </c>
      <c r="AB19" s="32">
        <f>IF(AQ19="1",BH19,0)</f>
        <v>0</v>
      </c>
      <c r="AC19" s="32">
        <f>IF(AQ19="1",BI19,0)</f>
        <v>0</v>
      </c>
      <c r="AD19" s="32">
        <f>IF(AQ19="7",BH19,0)</f>
        <v>0</v>
      </c>
      <c r="AE19" s="32">
        <f>IF(AQ19="7",BI19,0)</f>
        <v>0</v>
      </c>
      <c r="AF19" s="32">
        <f>IF(AQ19="2",BH19,0)</f>
        <v>0</v>
      </c>
      <c r="AG19" s="32">
        <f>IF(AQ19="2",BI19,0)</f>
        <v>0</v>
      </c>
      <c r="AH19" s="32">
        <f>IF(AQ19="0",BJ19,0)</f>
        <v>0</v>
      </c>
      <c r="AI19" s="28"/>
      <c r="AJ19" s="15">
        <f>IF(AN19=0,K19,0)</f>
        <v>0</v>
      </c>
      <c r="AK19" s="15">
        <f>IF(AN19=15,K19,0)</f>
        <v>0</v>
      </c>
      <c r="AL19" s="15">
        <f>IF(AN19=21,K19,0)</f>
        <v>0</v>
      </c>
      <c r="AN19" s="32">
        <v>21</v>
      </c>
      <c r="AO19" s="32">
        <f>H19*0</f>
        <v>0</v>
      </c>
      <c r="AP19" s="32">
        <f>H19*(1-0)</f>
        <v>0</v>
      </c>
      <c r="AQ19" s="27" t="s">
        <v>7</v>
      </c>
      <c r="AV19" s="32">
        <f>AW19+AX19</f>
        <v>0</v>
      </c>
      <c r="AW19" s="32">
        <f>G19*AO19</f>
        <v>0</v>
      </c>
      <c r="AX19" s="32">
        <f>G19*AP19</f>
        <v>0</v>
      </c>
      <c r="AY19" s="33" t="s">
        <v>649</v>
      </c>
      <c r="AZ19" s="33" t="s">
        <v>647</v>
      </c>
      <c r="BA19" s="28" t="s">
        <v>681</v>
      </c>
      <c r="BC19" s="32">
        <f>AW19+AX19</f>
        <v>0</v>
      </c>
      <c r="BD19" s="32">
        <f>H19/(100-BE19)*100</f>
        <v>0</v>
      </c>
      <c r="BE19" s="32">
        <v>0</v>
      </c>
      <c r="BF19" s="32">
        <f>19</f>
        <v>19</v>
      </c>
      <c r="BH19" s="15">
        <f>G19*AO19</f>
        <v>0</v>
      </c>
      <c r="BI19" s="15">
        <f>G19*AP19</f>
        <v>0</v>
      </c>
      <c r="BJ19" s="15">
        <f>G19*H19</f>
        <v>0</v>
      </c>
    </row>
    <row r="20" spans="1:62" x14ac:dyDescent="0.2">
      <c r="C20" s="58" t="s">
        <v>282</v>
      </c>
      <c r="D20" s="59"/>
      <c r="E20" s="59"/>
      <c r="G20" s="16">
        <v>14.25</v>
      </c>
    </row>
    <row r="21" spans="1:62" x14ac:dyDescent="0.2">
      <c r="C21" s="58" t="s">
        <v>283</v>
      </c>
      <c r="D21" s="59"/>
      <c r="E21" s="59"/>
      <c r="G21" s="16">
        <v>-10.25</v>
      </c>
    </row>
    <row r="22" spans="1:62" x14ac:dyDescent="0.2">
      <c r="A22" s="4" t="s">
        <v>10</v>
      </c>
      <c r="B22" s="4" t="s">
        <v>136</v>
      </c>
      <c r="C22" s="60" t="s">
        <v>284</v>
      </c>
      <c r="D22" s="61"/>
      <c r="E22" s="61"/>
      <c r="F22" s="4" t="s">
        <v>614</v>
      </c>
      <c r="G22" s="15">
        <v>4</v>
      </c>
      <c r="H22" s="15">
        <v>0</v>
      </c>
      <c r="I22" s="15">
        <f>G22*AO22</f>
        <v>0</v>
      </c>
      <c r="J22" s="15">
        <f>G22*AP22</f>
        <v>0</v>
      </c>
      <c r="K22" s="15">
        <f>G22*H22</f>
        <v>0</v>
      </c>
      <c r="L22" s="27" t="s">
        <v>636</v>
      </c>
      <c r="Z22" s="32">
        <f>IF(AQ22="5",BJ22,0)</f>
        <v>0</v>
      </c>
      <c r="AB22" s="32">
        <f>IF(AQ22="1",BH22,0)</f>
        <v>0</v>
      </c>
      <c r="AC22" s="32">
        <f>IF(AQ22="1",BI22,0)</f>
        <v>0</v>
      </c>
      <c r="AD22" s="32">
        <f>IF(AQ22="7",BH22,0)</f>
        <v>0</v>
      </c>
      <c r="AE22" s="32">
        <f>IF(AQ22="7",BI22,0)</f>
        <v>0</v>
      </c>
      <c r="AF22" s="32">
        <f>IF(AQ22="2",BH22,0)</f>
        <v>0</v>
      </c>
      <c r="AG22" s="32">
        <f>IF(AQ22="2",BI22,0)</f>
        <v>0</v>
      </c>
      <c r="AH22" s="32">
        <f>IF(AQ22="0",BJ22,0)</f>
        <v>0</v>
      </c>
      <c r="AI22" s="28"/>
      <c r="AJ22" s="15">
        <f>IF(AN22=0,K22,0)</f>
        <v>0</v>
      </c>
      <c r="AK22" s="15">
        <f>IF(AN22=15,K22,0)</f>
        <v>0</v>
      </c>
      <c r="AL22" s="15">
        <f>IF(AN22=21,K22,0)</f>
        <v>0</v>
      </c>
      <c r="AN22" s="32">
        <v>21</v>
      </c>
      <c r="AO22" s="32">
        <f>H22*0</f>
        <v>0</v>
      </c>
      <c r="AP22" s="32">
        <f>H22*(1-0)</f>
        <v>0</v>
      </c>
      <c r="AQ22" s="27" t="s">
        <v>7</v>
      </c>
      <c r="AV22" s="32">
        <f>AW22+AX22</f>
        <v>0</v>
      </c>
      <c r="AW22" s="32">
        <f>G22*AO22</f>
        <v>0</v>
      </c>
      <c r="AX22" s="32">
        <f>G22*AP22</f>
        <v>0</v>
      </c>
      <c r="AY22" s="33" t="s">
        <v>649</v>
      </c>
      <c r="AZ22" s="33" t="s">
        <v>647</v>
      </c>
      <c r="BA22" s="28" t="s">
        <v>681</v>
      </c>
      <c r="BC22" s="32">
        <f>AW22+AX22</f>
        <v>0</v>
      </c>
      <c r="BD22" s="32">
        <f>H22/(100-BE22)*100</f>
        <v>0</v>
      </c>
      <c r="BE22" s="32">
        <v>0</v>
      </c>
      <c r="BF22" s="32">
        <f>22</f>
        <v>22</v>
      </c>
      <c r="BH22" s="15">
        <f>G22*AO22</f>
        <v>0</v>
      </c>
      <c r="BI22" s="15">
        <f>G22*AP22</f>
        <v>0</v>
      </c>
      <c r="BJ22" s="15">
        <f>G22*H22</f>
        <v>0</v>
      </c>
    </row>
    <row r="23" spans="1:62" x14ac:dyDescent="0.2">
      <c r="C23" s="58" t="s">
        <v>285</v>
      </c>
      <c r="D23" s="59"/>
      <c r="E23" s="59"/>
      <c r="G23" s="16">
        <v>4</v>
      </c>
    </row>
    <row r="24" spans="1:62" x14ac:dyDescent="0.2">
      <c r="A24" s="5"/>
      <c r="B24" s="13" t="s">
        <v>23</v>
      </c>
      <c r="C24" s="66" t="s">
        <v>286</v>
      </c>
      <c r="D24" s="67"/>
      <c r="E24" s="67"/>
      <c r="F24" s="5" t="s">
        <v>6</v>
      </c>
      <c r="G24" s="5" t="s">
        <v>6</v>
      </c>
      <c r="H24" s="5" t="s">
        <v>6</v>
      </c>
      <c r="I24" s="35">
        <f>SUM(I25:I30)</f>
        <v>0</v>
      </c>
      <c r="J24" s="35">
        <f>SUM(J25:J30)</f>
        <v>0</v>
      </c>
      <c r="K24" s="35">
        <f>SUM(K25:K30)</f>
        <v>0</v>
      </c>
      <c r="L24" s="28"/>
      <c r="AI24" s="28"/>
      <c r="AS24" s="35">
        <f>SUM(AJ25:AJ30)</f>
        <v>0</v>
      </c>
      <c r="AT24" s="35">
        <f>SUM(AK25:AK30)</f>
        <v>0</v>
      </c>
      <c r="AU24" s="35">
        <f>SUM(AL25:AL30)</f>
        <v>0</v>
      </c>
    </row>
    <row r="25" spans="1:62" x14ac:dyDescent="0.2">
      <c r="A25" s="4" t="s">
        <v>11</v>
      </c>
      <c r="B25" s="4" t="s">
        <v>137</v>
      </c>
      <c r="C25" s="60" t="s">
        <v>287</v>
      </c>
      <c r="D25" s="61"/>
      <c r="E25" s="61"/>
      <c r="F25" s="4" t="s">
        <v>614</v>
      </c>
      <c r="G25" s="15">
        <v>10.25</v>
      </c>
      <c r="H25" s="15">
        <v>0</v>
      </c>
      <c r="I25" s="15">
        <f>G25*AO25</f>
        <v>0</v>
      </c>
      <c r="J25" s="15">
        <f>G25*AP25</f>
        <v>0</v>
      </c>
      <c r="K25" s="15">
        <f>G25*H25</f>
        <v>0</v>
      </c>
      <c r="L25" s="27" t="s">
        <v>636</v>
      </c>
      <c r="Z25" s="32">
        <f>IF(AQ25="5",BJ25,0)</f>
        <v>0</v>
      </c>
      <c r="AB25" s="32">
        <f>IF(AQ25="1",BH25,0)</f>
        <v>0</v>
      </c>
      <c r="AC25" s="32">
        <f>IF(AQ25="1",BI25,0)</f>
        <v>0</v>
      </c>
      <c r="AD25" s="32">
        <f>IF(AQ25="7",BH25,0)</f>
        <v>0</v>
      </c>
      <c r="AE25" s="32">
        <f>IF(AQ25="7",BI25,0)</f>
        <v>0</v>
      </c>
      <c r="AF25" s="32">
        <f>IF(AQ25="2",BH25,0)</f>
        <v>0</v>
      </c>
      <c r="AG25" s="32">
        <f>IF(AQ25="2",BI25,0)</f>
        <v>0</v>
      </c>
      <c r="AH25" s="32">
        <f>IF(AQ25="0",BJ25,0)</f>
        <v>0</v>
      </c>
      <c r="AI25" s="28"/>
      <c r="AJ25" s="15">
        <f>IF(AN25=0,K25,0)</f>
        <v>0</v>
      </c>
      <c r="AK25" s="15">
        <f>IF(AN25=15,K25,0)</f>
        <v>0</v>
      </c>
      <c r="AL25" s="15">
        <f>IF(AN25=21,K25,0)</f>
        <v>0</v>
      </c>
      <c r="AN25" s="32">
        <v>21</v>
      </c>
      <c r="AO25" s="32">
        <f>H25*0</f>
        <v>0</v>
      </c>
      <c r="AP25" s="32">
        <f>H25*(1-0)</f>
        <v>0</v>
      </c>
      <c r="AQ25" s="27" t="s">
        <v>7</v>
      </c>
      <c r="AV25" s="32">
        <f>AW25+AX25</f>
        <v>0</v>
      </c>
      <c r="AW25" s="32">
        <f>G25*AO25</f>
        <v>0</v>
      </c>
      <c r="AX25" s="32">
        <f>G25*AP25</f>
        <v>0</v>
      </c>
      <c r="AY25" s="33" t="s">
        <v>650</v>
      </c>
      <c r="AZ25" s="33" t="s">
        <v>647</v>
      </c>
      <c r="BA25" s="28" t="s">
        <v>681</v>
      </c>
      <c r="BC25" s="32">
        <f>AW25+AX25</f>
        <v>0</v>
      </c>
      <c r="BD25" s="32">
        <f>H25/(100-BE25)*100</f>
        <v>0</v>
      </c>
      <c r="BE25" s="32">
        <v>0</v>
      </c>
      <c r="BF25" s="32">
        <f>25</f>
        <v>25</v>
      </c>
      <c r="BH25" s="15">
        <f>G25*AO25</f>
        <v>0</v>
      </c>
      <c r="BI25" s="15">
        <f>G25*AP25</f>
        <v>0</v>
      </c>
      <c r="BJ25" s="15">
        <f>G25*H25</f>
        <v>0</v>
      </c>
    </row>
    <row r="26" spans="1:62" x14ac:dyDescent="0.2">
      <c r="C26" s="58" t="s">
        <v>288</v>
      </c>
      <c r="D26" s="59"/>
      <c r="E26" s="59"/>
      <c r="G26" s="16">
        <v>14.24</v>
      </c>
    </row>
    <row r="27" spans="1:62" x14ac:dyDescent="0.2">
      <c r="C27" s="58" t="s">
        <v>289</v>
      </c>
      <c r="D27" s="59"/>
      <c r="E27" s="59"/>
      <c r="G27" s="16">
        <v>-3.99</v>
      </c>
    </row>
    <row r="28" spans="1:62" x14ac:dyDescent="0.2">
      <c r="A28" s="4" t="s">
        <v>12</v>
      </c>
      <c r="B28" s="4" t="s">
        <v>138</v>
      </c>
      <c r="C28" s="60" t="s">
        <v>290</v>
      </c>
      <c r="D28" s="61"/>
      <c r="E28" s="61"/>
      <c r="F28" s="4" t="s">
        <v>614</v>
      </c>
      <c r="G28" s="15">
        <v>4</v>
      </c>
      <c r="H28" s="15">
        <v>0</v>
      </c>
      <c r="I28" s="15">
        <f>G28*AO28</f>
        <v>0</v>
      </c>
      <c r="J28" s="15">
        <f>G28*AP28</f>
        <v>0</v>
      </c>
      <c r="K28" s="15">
        <f>G28*H28</f>
        <v>0</v>
      </c>
      <c r="L28" s="27" t="s">
        <v>636</v>
      </c>
      <c r="Z28" s="32">
        <f>IF(AQ28="5",BJ28,0)</f>
        <v>0</v>
      </c>
      <c r="AB28" s="32">
        <f>IF(AQ28="1",BH28,0)</f>
        <v>0</v>
      </c>
      <c r="AC28" s="32">
        <f>IF(AQ28="1",BI28,0)</f>
        <v>0</v>
      </c>
      <c r="AD28" s="32">
        <f>IF(AQ28="7",BH28,0)</f>
        <v>0</v>
      </c>
      <c r="AE28" s="32">
        <f>IF(AQ28="7",BI28,0)</f>
        <v>0</v>
      </c>
      <c r="AF28" s="32">
        <f>IF(AQ28="2",BH28,0)</f>
        <v>0</v>
      </c>
      <c r="AG28" s="32">
        <f>IF(AQ28="2",BI28,0)</f>
        <v>0</v>
      </c>
      <c r="AH28" s="32">
        <f>IF(AQ28="0",BJ28,0)</f>
        <v>0</v>
      </c>
      <c r="AI28" s="28"/>
      <c r="AJ28" s="15">
        <f>IF(AN28=0,K28,0)</f>
        <v>0</v>
      </c>
      <c r="AK28" s="15">
        <f>IF(AN28=15,K28,0)</f>
        <v>0</v>
      </c>
      <c r="AL28" s="15">
        <f>IF(AN28=21,K28,0)</f>
        <v>0</v>
      </c>
      <c r="AN28" s="32">
        <v>21</v>
      </c>
      <c r="AO28" s="32">
        <f>H28*0</f>
        <v>0</v>
      </c>
      <c r="AP28" s="32">
        <f>H28*(1-0)</f>
        <v>0</v>
      </c>
      <c r="AQ28" s="27" t="s">
        <v>7</v>
      </c>
      <c r="AV28" s="32">
        <f>AW28+AX28</f>
        <v>0</v>
      </c>
      <c r="AW28" s="32">
        <f>G28*AO28</f>
        <v>0</v>
      </c>
      <c r="AX28" s="32">
        <f>G28*AP28</f>
        <v>0</v>
      </c>
      <c r="AY28" s="33" t="s">
        <v>650</v>
      </c>
      <c r="AZ28" s="33" t="s">
        <v>647</v>
      </c>
      <c r="BA28" s="28" t="s">
        <v>681</v>
      </c>
      <c r="BC28" s="32">
        <f>AW28+AX28</f>
        <v>0</v>
      </c>
      <c r="BD28" s="32">
        <f>H28/(100-BE28)*100</f>
        <v>0</v>
      </c>
      <c r="BE28" s="32">
        <v>0</v>
      </c>
      <c r="BF28" s="32">
        <f>28</f>
        <v>28</v>
      </c>
      <c r="BH28" s="15">
        <f>G28*AO28</f>
        <v>0</v>
      </c>
      <c r="BI28" s="15">
        <f>G28*AP28</f>
        <v>0</v>
      </c>
      <c r="BJ28" s="15">
        <f>G28*H28</f>
        <v>0</v>
      </c>
    </row>
    <row r="29" spans="1:62" x14ac:dyDescent="0.2">
      <c r="C29" s="58" t="s">
        <v>285</v>
      </c>
      <c r="D29" s="59"/>
      <c r="E29" s="59"/>
      <c r="G29" s="16">
        <v>4</v>
      </c>
    </row>
    <row r="30" spans="1:62" x14ac:dyDescent="0.2">
      <c r="A30" s="4" t="s">
        <v>13</v>
      </c>
      <c r="B30" s="4" t="s">
        <v>139</v>
      </c>
      <c r="C30" s="60" t="s">
        <v>291</v>
      </c>
      <c r="D30" s="61"/>
      <c r="E30" s="61"/>
      <c r="F30" s="4" t="s">
        <v>614</v>
      </c>
      <c r="G30" s="15">
        <v>4</v>
      </c>
      <c r="H30" s="15">
        <v>0</v>
      </c>
      <c r="I30" s="15">
        <f>G30*AO30</f>
        <v>0</v>
      </c>
      <c r="J30" s="15">
        <f>G30*AP30</f>
        <v>0</v>
      </c>
      <c r="K30" s="15">
        <f>G30*H30</f>
        <v>0</v>
      </c>
      <c r="L30" s="27" t="s">
        <v>636</v>
      </c>
      <c r="Z30" s="32">
        <f>IF(AQ30="5",BJ30,0)</f>
        <v>0</v>
      </c>
      <c r="AB30" s="32">
        <f>IF(AQ30="1",BH30,0)</f>
        <v>0</v>
      </c>
      <c r="AC30" s="32">
        <f>IF(AQ30="1",BI30,0)</f>
        <v>0</v>
      </c>
      <c r="AD30" s="32">
        <f>IF(AQ30="7",BH30,0)</f>
        <v>0</v>
      </c>
      <c r="AE30" s="32">
        <f>IF(AQ30="7",BI30,0)</f>
        <v>0</v>
      </c>
      <c r="AF30" s="32">
        <f>IF(AQ30="2",BH30,0)</f>
        <v>0</v>
      </c>
      <c r="AG30" s="32">
        <f>IF(AQ30="2",BI30,0)</f>
        <v>0</v>
      </c>
      <c r="AH30" s="32">
        <f>IF(AQ30="0",BJ30,0)</f>
        <v>0</v>
      </c>
      <c r="AI30" s="28"/>
      <c r="AJ30" s="15">
        <f>IF(AN30=0,K30,0)</f>
        <v>0</v>
      </c>
      <c r="AK30" s="15">
        <f>IF(AN30=15,K30,0)</f>
        <v>0</v>
      </c>
      <c r="AL30" s="15">
        <f>IF(AN30=21,K30,0)</f>
        <v>0</v>
      </c>
      <c r="AN30" s="32">
        <v>21</v>
      </c>
      <c r="AO30" s="32">
        <f>H30*0</f>
        <v>0</v>
      </c>
      <c r="AP30" s="32">
        <f>H30*(1-0)</f>
        <v>0</v>
      </c>
      <c r="AQ30" s="27" t="s">
        <v>7</v>
      </c>
      <c r="AV30" s="32">
        <f>AW30+AX30</f>
        <v>0</v>
      </c>
      <c r="AW30" s="32">
        <f>G30*AO30</f>
        <v>0</v>
      </c>
      <c r="AX30" s="32">
        <f>G30*AP30</f>
        <v>0</v>
      </c>
      <c r="AY30" s="33" t="s">
        <v>650</v>
      </c>
      <c r="AZ30" s="33" t="s">
        <v>647</v>
      </c>
      <c r="BA30" s="28" t="s">
        <v>681</v>
      </c>
      <c r="BC30" s="32">
        <f>AW30+AX30</f>
        <v>0</v>
      </c>
      <c r="BD30" s="32">
        <f>H30/(100-BE30)*100</f>
        <v>0</v>
      </c>
      <c r="BE30" s="32">
        <v>0</v>
      </c>
      <c r="BF30" s="32">
        <f>30</f>
        <v>30</v>
      </c>
      <c r="BH30" s="15">
        <f>G30*AO30</f>
        <v>0</v>
      </c>
      <c r="BI30" s="15">
        <f>G30*AP30</f>
        <v>0</v>
      </c>
      <c r="BJ30" s="15">
        <f>G30*H30</f>
        <v>0</v>
      </c>
    </row>
    <row r="31" spans="1:62" x14ac:dyDescent="0.2">
      <c r="C31" s="58" t="s">
        <v>285</v>
      </c>
      <c r="D31" s="59"/>
      <c r="E31" s="59"/>
      <c r="G31" s="16">
        <v>4</v>
      </c>
    </row>
    <row r="32" spans="1:62" x14ac:dyDescent="0.2">
      <c r="A32" s="5"/>
      <c r="B32" s="13" t="s">
        <v>8</v>
      </c>
      <c r="C32" s="66" t="s">
        <v>292</v>
      </c>
      <c r="D32" s="67"/>
      <c r="E32" s="67"/>
      <c r="F32" s="5" t="s">
        <v>6</v>
      </c>
      <c r="G32" s="5" t="s">
        <v>6</v>
      </c>
      <c r="H32" s="5" t="s">
        <v>6</v>
      </c>
      <c r="I32" s="35">
        <f>SUM(I33:I33)</f>
        <v>0</v>
      </c>
      <c r="J32" s="35">
        <f>SUM(J33:J33)</f>
        <v>0</v>
      </c>
      <c r="K32" s="35">
        <f>SUM(K33:K33)</f>
        <v>0</v>
      </c>
      <c r="L32" s="28"/>
      <c r="AI32" s="28"/>
      <c r="AS32" s="35">
        <f>SUM(AJ33:AJ33)</f>
        <v>0</v>
      </c>
      <c r="AT32" s="35">
        <f>SUM(AK33:AK33)</f>
        <v>0</v>
      </c>
      <c r="AU32" s="35">
        <f>SUM(AL33:AL33)</f>
        <v>0</v>
      </c>
    </row>
    <row r="33" spans="1:62" x14ac:dyDescent="0.2">
      <c r="A33" s="4" t="s">
        <v>14</v>
      </c>
      <c r="B33" s="4" t="s">
        <v>140</v>
      </c>
      <c r="C33" s="60" t="s">
        <v>293</v>
      </c>
      <c r="D33" s="61"/>
      <c r="E33" s="61"/>
      <c r="F33" s="4" t="s">
        <v>615</v>
      </c>
      <c r="G33" s="15">
        <v>1</v>
      </c>
      <c r="H33" s="15">
        <v>0</v>
      </c>
      <c r="I33" s="15">
        <f>G33*AO33</f>
        <v>0</v>
      </c>
      <c r="J33" s="15">
        <f>G33*AP33</f>
        <v>0</v>
      </c>
      <c r="K33" s="15">
        <f>G33*H33</f>
        <v>0</v>
      </c>
      <c r="L33" s="27"/>
      <c r="Z33" s="32">
        <f>IF(AQ33="5",BJ33,0)</f>
        <v>0</v>
      </c>
      <c r="AB33" s="32">
        <f>IF(AQ33="1",BH33,0)</f>
        <v>0</v>
      </c>
      <c r="AC33" s="32">
        <f>IF(AQ33="1",BI33,0)</f>
        <v>0</v>
      </c>
      <c r="AD33" s="32">
        <f>IF(AQ33="7",BH33,0)</f>
        <v>0</v>
      </c>
      <c r="AE33" s="32">
        <f>IF(AQ33="7",BI33,0)</f>
        <v>0</v>
      </c>
      <c r="AF33" s="32">
        <f>IF(AQ33="2",BH33,0)</f>
        <v>0</v>
      </c>
      <c r="AG33" s="32">
        <f>IF(AQ33="2",BI33,0)</f>
        <v>0</v>
      </c>
      <c r="AH33" s="32">
        <f>IF(AQ33="0",BJ33,0)</f>
        <v>0</v>
      </c>
      <c r="AI33" s="28"/>
      <c r="AJ33" s="15">
        <f>IF(AN33=0,K33,0)</f>
        <v>0</v>
      </c>
      <c r="AK33" s="15">
        <f>IF(AN33=15,K33,0)</f>
        <v>0</v>
      </c>
      <c r="AL33" s="15">
        <f>IF(AN33=21,K33,0)</f>
        <v>0</v>
      </c>
      <c r="AN33" s="32">
        <v>21</v>
      </c>
      <c r="AO33" s="32">
        <f>H33*0</f>
        <v>0</v>
      </c>
      <c r="AP33" s="32">
        <f>H33*(1-0)</f>
        <v>0</v>
      </c>
      <c r="AQ33" s="27" t="s">
        <v>7</v>
      </c>
      <c r="AV33" s="32">
        <f>AW33+AX33</f>
        <v>0</v>
      </c>
      <c r="AW33" s="32">
        <f>G33*AO33</f>
        <v>0</v>
      </c>
      <c r="AX33" s="32">
        <f>G33*AP33</f>
        <v>0</v>
      </c>
      <c r="AY33" s="33" t="s">
        <v>651</v>
      </c>
      <c r="AZ33" s="33" t="s">
        <v>651</v>
      </c>
      <c r="BA33" s="28" t="s">
        <v>681</v>
      </c>
      <c r="BC33" s="32">
        <f>AW33+AX33</f>
        <v>0</v>
      </c>
      <c r="BD33" s="32">
        <f>H33/(100-BE33)*100</f>
        <v>0</v>
      </c>
      <c r="BE33" s="32">
        <v>0</v>
      </c>
      <c r="BF33" s="32">
        <f>33</f>
        <v>33</v>
      </c>
      <c r="BH33" s="15">
        <f>G33*AO33</f>
        <v>0</v>
      </c>
      <c r="BI33" s="15">
        <f>G33*AP33</f>
        <v>0</v>
      </c>
      <c r="BJ33" s="15">
        <f>G33*H33</f>
        <v>0</v>
      </c>
    </row>
    <row r="34" spans="1:62" x14ac:dyDescent="0.2">
      <c r="C34" s="58" t="s">
        <v>294</v>
      </c>
      <c r="D34" s="59"/>
      <c r="E34" s="59"/>
      <c r="G34" s="16">
        <v>1</v>
      </c>
    </row>
    <row r="35" spans="1:62" x14ac:dyDescent="0.2">
      <c r="A35" s="5"/>
      <c r="B35" s="55" t="s">
        <v>27</v>
      </c>
      <c r="C35" s="66" t="s">
        <v>736</v>
      </c>
      <c r="D35" s="67"/>
      <c r="E35" s="67"/>
      <c r="F35" s="5" t="s">
        <v>6</v>
      </c>
      <c r="G35" s="5" t="s">
        <v>6</v>
      </c>
      <c r="H35" s="5" t="s">
        <v>6</v>
      </c>
      <c r="I35" s="35">
        <f>SUM(I36:I36)</f>
        <v>0</v>
      </c>
      <c r="J35" s="35">
        <f>SUM(J36:J36)</f>
        <v>0</v>
      </c>
      <c r="K35" s="35">
        <f>SUM(K36:K36)</f>
        <v>0</v>
      </c>
      <c r="L35" s="28"/>
      <c r="AI35" s="28"/>
      <c r="AS35" s="35">
        <f>SUM(AJ36:AJ36)</f>
        <v>0</v>
      </c>
      <c r="AT35" s="35">
        <f>SUM(AK36:AK36)</f>
        <v>0</v>
      </c>
      <c r="AU35" s="35">
        <f>SUM(AL36:AL36)</f>
        <v>0</v>
      </c>
    </row>
    <row r="36" spans="1:62" x14ac:dyDescent="0.2">
      <c r="A36" s="54" t="s">
        <v>738</v>
      </c>
      <c r="B36" s="54"/>
      <c r="C36" s="60" t="s">
        <v>737</v>
      </c>
      <c r="D36" s="61"/>
      <c r="E36" s="61"/>
      <c r="F36" s="54" t="s">
        <v>615</v>
      </c>
      <c r="G36" s="15">
        <v>1</v>
      </c>
      <c r="H36" s="15">
        <v>0</v>
      </c>
      <c r="I36" s="15">
        <f>G36*AO36</f>
        <v>0</v>
      </c>
      <c r="J36" s="15">
        <f>G36*AP36</f>
        <v>0</v>
      </c>
      <c r="K36" s="15">
        <f>G36*H36</f>
        <v>0</v>
      </c>
      <c r="L36" s="27"/>
      <c r="Z36" s="32">
        <f>IF(AQ36="5",BJ36,0)</f>
        <v>0</v>
      </c>
      <c r="AB36" s="32">
        <f>IF(AQ36="1",BH36,0)</f>
        <v>0</v>
      </c>
      <c r="AC36" s="32">
        <f>IF(AQ36="1",BI36,0)</f>
        <v>0</v>
      </c>
      <c r="AD36" s="32">
        <f>IF(AQ36="7",BH36,0)</f>
        <v>0</v>
      </c>
      <c r="AE36" s="32">
        <f>IF(AQ36="7",BI36,0)</f>
        <v>0</v>
      </c>
      <c r="AF36" s="32">
        <f>IF(AQ36="2",BH36,0)</f>
        <v>0</v>
      </c>
      <c r="AG36" s="32">
        <f>IF(AQ36="2",BI36,0)</f>
        <v>0</v>
      </c>
      <c r="AH36" s="32">
        <f>IF(AQ36="0",BJ36,0)</f>
        <v>0</v>
      </c>
      <c r="AI36" s="28"/>
      <c r="AJ36" s="15">
        <f>IF(AN36=0,K36,0)</f>
        <v>0</v>
      </c>
      <c r="AK36" s="15">
        <f>IF(AN36=15,K36,0)</f>
        <v>0</v>
      </c>
      <c r="AL36" s="15">
        <f>IF(AN36=21,K36,0)</f>
        <v>0</v>
      </c>
      <c r="AN36" s="32">
        <v>21</v>
      </c>
      <c r="AO36" s="32">
        <f>H36*0</f>
        <v>0</v>
      </c>
      <c r="AP36" s="32">
        <f>H36*(1-0)</f>
        <v>0</v>
      </c>
      <c r="AQ36" s="27" t="s">
        <v>7</v>
      </c>
      <c r="AV36" s="32">
        <f>AW36+AX36</f>
        <v>0</v>
      </c>
      <c r="AW36" s="32">
        <f>G36*AO36</f>
        <v>0</v>
      </c>
      <c r="AX36" s="32">
        <f>G36*AP36</f>
        <v>0</v>
      </c>
      <c r="AY36" s="33" t="s">
        <v>651</v>
      </c>
      <c r="AZ36" s="33" t="s">
        <v>651</v>
      </c>
      <c r="BA36" s="28" t="s">
        <v>681</v>
      </c>
      <c r="BC36" s="32">
        <f>AW36+AX36</f>
        <v>0</v>
      </c>
      <c r="BD36" s="32">
        <f>H36/(100-BE36)*100</f>
        <v>0</v>
      </c>
      <c r="BE36" s="32">
        <v>0</v>
      </c>
      <c r="BF36" s="32">
        <f>33</f>
        <v>33</v>
      </c>
      <c r="BH36" s="15">
        <f>G36*AO36</f>
        <v>0</v>
      </c>
      <c r="BI36" s="15">
        <f>G36*AP36</f>
        <v>0</v>
      </c>
      <c r="BJ36" s="15">
        <f>G36*H36</f>
        <v>0</v>
      </c>
    </row>
    <row r="37" spans="1:62" x14ac:dyDescent="0.2">
      <c r="A37" s="5"/>
      <c r="B37" s="13" t="s">
        <v>65</v>
      </c>
      <c r="C37" s="66" t="s">
        <v>295</v>
      </c>
      <c r="D37" s="67"/>
      <c r="E37" s="67"/>
      <c r="F37" s="5" t="s">
        <v>6</v>
      </c>
      <c r="G37" s="5" t="s">
        <v>6</v>
      </c>
      <c r="H37" s="5" t="s">
        <v>6</v>
      </c>
      <c r="I37" s="35">
        <f>SUM(I38:I38)</f>
        <v>0</v>
      </c>
      <c r="J37" s="35">
        <f>SUM(J38:J38)</f>
        <v>0</v>
      </c>
      <c r="K37" s="35">
        <f>SUM(K38:K38)</f>
        <v>0</v>
      </c>
      <c r="L37" s="28"/>
      <c r="AI37" s="28"/>
      <c r="AS37" s="35">
        <f>SUM(AJ38:AJ38)</f>
        <v>0</v>
      </c>
      <c r="AT37" s="35">
        <f>SUM(AK38:AK38)</f>
        <v>0</v>
      </c>
      <c r="AU37" s="35">
        <f>SUM(AL38:AL38)</f>
        <v>0</v>
      </c>
    </row>
    <row r="38" spans="1:62" x14ac:dyDescent="0.2">
      <c r="A38" s="4" t="s">
        <v>15</v>
      </c>
      <c r="B38" s="4" t="s">
        <v>141</v>
      </c>
      <c r="C38" s="60" t="s">
        <v>296</v>
      </c>
      <c r="D38" s="61"/>
      <c r="E38" s="61"/>
      <c r="F38" s="4" t="s">
        <v>613</v>
      </c>
      <c r="G38" s="15">
        <v>56.4</v>
      </c>
      <c r="H38" s="15">
        <v>0</v>
      </c>
      <c r="I38" s="15">
        <f>G38*AO38</f>
        <v>0</v>
      </c>
      <c r="J38" s="15">
        <f>G38*AP38</f>
        <v>0</v>
      </c>
      <c r="K38" s="15">
        <f>G38*H38</f>
        <v>0</v>
      </c>
      <c r="L38" s="27" t="s">
        <v>636</v>
      </c>
      <c r="Z38" s="32">
        <f>IF(AQ38="5",BJ38,0)</f>
        <v>0</v>
      </c>
      <c r="AB38" s="32">
        <f>IF(AQ38="1",BH38,0)</f>
        <v>0</v>
      </c>
      <c r="AC38" s="32">
        <f>IF(AQ38="1",BI38,0)</f>
        <v>0</v>
      </c>
      <c r="AD38" s="32">
        <f>IF(AQ38="7",BH38,0)</f>
        <v>0</v>
      </c>
      <c r="AE38" s="32">
        <f>IF(AQ38="7",BI38,0)</f>
        <v>0</v>
      </c>
      <c r="AF38" s="32">
        <f>IF(AQ38="2",BH38,0)</f>
        <v>0</v>
      </c>
      <c r="AG38" s="32">
        <f>IF(AQ38="2",BI38,0)</f>
        <v>0</v>
      </c>
      <c r="AH38" s="32">
        <f>IF(AQ38="0",BJ38,0)</f>
        <v>0</v>
      </c>
      <c r="AI38" s="28"/>
      <c r="AJ38" s="15">
        <f>IF(AN38=0,K38,0)</f>
        <v>0</v>
      </c>
      <c r="AK38" s="15">
        <f>IF(AN38=15,K38,0)</f>
        <v>0</v>
      </c>
      <c r="AL38" s="15">
        <f>IF(AN38=21,K38,0)</f>
        <v>0</v>
      </c>
      <c r="AN38" s="32">
        <v>21</v>
      </c>
      <c r="AO38" s="32">
        <f>H38*0.568727135221548</f>
        <v>0</v>
      </c>
      <c r="AP38" s="32">
        <f>H38*(1-0.568727135221548)</f>
        <v>0</v>
      </c>
      <c r="AQ38" s="27" t="s">
        <v>7</v>
      </c>
      <c r="AV38" s="32">
        <f>AW38+AX38</f>
        <v>0</v>
      </c>
      <c r="AW38" s="32">
        <f>G38*AO38</f>
        <v>0</v>
      </c>
      <c r="AX38" s="32">
        <f>G38*AP38</f>
        <v>0</v>
      </c>
      <c r="AY38" s="33" t="s">
        <v>652</v>
      </c>
      <c r="AZ38" s="33" t="s">
        <v>674</v>
      </c>
      <c r="BA38" s="28" t="s">
        <v>681</v>
      </c>
      <c r="BC38" s="32">
        <f>AW38+AX38</f>
        <v>0</v>
      </c>
      <c r="BD38" s="32">
        <f>H38/(100-BE38)*100</f>
        <v>0</v>
      </c>
      <c r="BE38" s="32">
        <v>0</v>
      </c>
      <c r="BF38" s="32">
        <f>36</f>
        <v>36</v>
      </c>
      <c r="BH38" s="15">
        <f>G38*AO38</f>
        <v>0</v>
      </c>
      <c r="BI38" s="15">
        <f>G38*AP38</f>
        <v>0</v>
      </c>
      <c r="BJ38" s="15">
        <f>G38*H38</f>
        <v>0</v>
      </c>
    </row>
    <row r="39" spans="1:62" x14ac:dyDescent="0.2">
      <c r="C39" s="58" t="s">
        <v>297</v>
      </c>
      <c r="D39" s="59"/>
      <c r="E39" s="59"/>
      <c r="G39" s="16">
        <v>56.4</v>
      </c>
    </row>
    <row r="40" spans="1:62" x14ac:dyDescent="0.2">
      <c r="A40" s="5"/>
      <c r="B40" s="13" t="s">
        <v>67</v>
      </c>
      <c r="C40" s="66" t="s">
        <v>298</v>
      </c>
      <c r="D40" s="67"/>
      <c r="E40" s="67"/>
      <c r="F40" s="5" t="s">
        <v>6</v>
      </c>
      <c r="G40" s="5" t="s">
        <v>6</v>
      </c>
      <c r="H40" s="5" t="s">
        <v>6</v>
      </c>
      <c r="I40" s="35">
        <f>SUM(I41:I43)</f>
        <v>0</v>
      </c>
      <c r="J40" s="35">
        <f>SUM(J41:J43)</f>
        <v>0</v>
      </c>
      <c r="K40" s="35">
        <f>SUM(K41:K43)</f>
        <v>0</v>
      </c>
      <c r="L40" s="28"/>
      <c r="AI40" s="28"/>
      <c r="AS40" s="35">
        <f>SUM(AJ41:AJ43)</f>
        <v>0</v>
      </c>
      <c r="AT40" s="35">
        <f>SUM(AK41:AK43)</f>
        <v>0</v>
      </c>
      <c r="AU40" s="35">
        <f>SUM(AL41:AL43)</f>
        <v>0</v>
      </c>
    </row>
    <row r="41" spans="1:62" x14ac:dyDescent="0.2">
      <c r="A41" s="4" t="s">
        <v>16</v>
      </c>
      <c r="B41" s="4" t="s">
        <v>142</v>
      </c>
      <c r="C41" s="60" t="s">
        <v>299</v>
      </c>
      <c r="D41" s="61"/>
      <c r="E41" s="61"/>
      <c r="F41" s="4" t="s">
        <v>616</v>
      </c>
      <c r="G41" s="15">
        <v>184.84</v>
      </c>
      <c r="H41" s="15">
        <v>0</v>
      </c>
      <c r="I41" s="15">
        <f>G41*AO41</f>
        <v>0</v>
      </c>
      <c r="J41" s="15">
        <f>G41*AP41</f>
        <v>0</v>
      </c>
      <c r="K41" s="15">
        <f>G41*H41</f>
        <v>0</v>
      </c>
      <c r="L41" s="27" t="s">
        <v>636</v>
      </c>
      <c r="Z41" s="32">
        <f>IF(AQ41="5",BJ41,0)</f>
        <v>0</v>
      </c>
      <c r="AB41" s="32">
        <f>IF(AQ41="1",BH41,0)</f>
        <v>0</v>
      </c>
      <c r="AC41" s="32">
        <f>IF(AQ41="1",BI41,0)</f>
        <v>0</v>
      </c>
      <c r="AD41" s="32">
        <f>IF(AQ41="7",BH41,0)</f>
        <v>0</v>
      </c>
      <c r="AE41" s="32">
        <f>IF(AQ41="7",BI41,0)</f>
        <v>0</v>
      </c>
      <c r="AF41" s="32">
        <f>IF(AQ41="2",BH41,0)</f>
        <v>0</v>
      </c>
      <c r="AG41" s="32">
        <f>IF(AQ41="2",BI41,0)</f>
        <v>0</v>
      </c>
      <c r="AH41" s="32">
        <f>IF(AQ41="0",BJ41,0)</f>
        <v>0</v>
      </c>
      <c r="AI41" s="28"/>
      <c r="AJ41" s="15">
        <f>IF(AN41=0,K41,0)</f>
        <v>0</v>
      </c>
      <c r="AK41" s="15">
        <f>IF(AN41=15,K41,0)</f>
        <v>0</v>
      </c>
      <c r="AL41" s="15">
        <f>IF(AN41=21,K41,0)</f>
        <v>0</v>
      </c>
      <c r="AN41" s="32">
        <v>21</v>
      </c>
      <c r="AO41" s="32">
        <f>H41*0.0435406811272134</f>
        <v>0</v>
      </c>
      <c r="AP41" s="32">
        <f>H41*(1-0.0435406811272134)</f>
        <v>0</v>
      </c>
      <c r="AQ41" s="27" t="s">
        <v>7</v>
      </c>
      <c r="AV41" s="32">
        <f>AW41+AX41</f>
        <v>0</v>
      </c>
      <c r="AW41" s="32">
        <f>G41*AO41</f>
        <v>0</v>
      </c>
      <c r="AX41" s="32">
        <f>G41*AP41</f>
        <v>0</v>
      </c>
      <c r="AY41" s="33" t="s">
        <v>653</v>
      </c>
      <c r="AZ41" s="33" t="s">
        <v>675</v>
      </c>
      <c r="BA41" s="28" t="s">
        <v>681</v>
      </c>
      <c r="BC41" s="32">
        <f>AW41+AX41</f>
        <v>0</v>
      </c>
      <c r="BD41" s="32">
        <f>H41/(100-BE41)*100</f>
        <v>0</v>
      </c>
      <c r="BE41" s="32">
        <v>0</v>
      </c>
      <c r="BF41" s="32">
        <f>39</f>
        <v>39</v>
      </c>
      <c r="BH41" s="15">
        <f>G41*AO41</f>
        <v>0</v>
      </c>
      <c r="BI41" s="15">
        <f>G41*AP41</f>
        <v>0</v>
      </c>
      <c r="BJ41" s="15">
        <f>G41*H41</f>
        <v>0</v>
      </c>
    </row>
    <row r="42" spans="1:62" x14ac:dyDescent="0.2">
      <c r="C42" s="58" t="s">
        <v>300</v>
      </c>
      <c r="D42" s="59"/>
      <c r="E42" s="59"/>
      <c r="G42" s="16">
        <v>184.84</v>
      </c>
    </row>
    <row r="43" spans="1:62" x14ac:dyDescent="0.2">
      <c r="A43" s="4" t="s">
        <v>17</v>
      </c>
      <c r="B43" s="4" t="s">
        <v>143</v>
      </c>
      <c r="C43" s="60" t="s">
        <v>301</v>
      </c>
      <c r="D43" s="61"/>
      <c r="E43" s="61"/>
      <c r="F43" s="4" t="s">
        <v>613</v>
      </c>
      <c r="G43" s="15">
        <v>92.42</v>
      </c>
      <c r="H43" s="15">
        <v>0</v>
      </c>
      <c r="I43" s="15">
        <f>G43*AO43</f>
        <v>0</v>
      </c>
      <c r="J43" s="15">
        <f>G43*AP43</f>
        <v>0</v>
      </c>
      <c r="K43" s="15">
        <f>G43*H43</f>
        <v>0</v>
      </c>
      <c r="L43" s="27" t="s">
        <v>636</v>
      </c>
      <c r="Z43" s="32">
        <f>IF(AQ43="5",BJ43,0)</f>
        <v>0</v>
      </c>
      <c r="AB43" s="32">
        <f>IF(AQ43="1",BH43,0)</f>
        <v>0</v>
      </c>
      <c r="AC43" s="32">
        <f>IF(AQ43="1",BI43,0)</f>
        <v>0</v>
      </c>
      <c r="AD43" s="32">
        <f>IF(AQ43="7",BH43,0)</f>
        <v>0</v>
      </c>
      <c r="AE43" s="32">
        <f>IF(AQ43="7",BI43,0)</f>
        <v>0</v>
      </c>
      <c r="AF43" s="32">
        <f>IF(AQ43="2",BH43,0)</f>
        <v>0</v>
      </c>
      <c r="AG43" s="32">
        <f>IF(AQ43="2",BI43,0)</f>
        <v>0</v>
      </c>
      <c r="AH43" s="32">
        <f>IF(AQ43="0",BJ43,0)</f>
        <v>0</v>
      </c>
      <c r="AI43" s="28"/>
      <c r="AJ43" s="15">
        <f>IF(AN43=0,K43,0)</f>
        <v>0</v>
      </c>
      <c r="AK43" s="15">
        <f>IF(AN43=15,K43,0)</f>
        <v>0</v>
      </c>
      <c r="AL43" s="15">
        <f>IF(AN43=21,K43,0)</f>
        <v>0</v>
      </c>
      <c r="AN43" s="32">
        <v>21</v>
      </c>
      <c r="AO43" s="32">
        <f>H43*0.142324159021407</f>
        <v>0</v>
      </c>
      <c r="AP43" s="32">
        <f>H43*(1-0.142324159021407)</f>
        <v>0</v>
      </c>
      <c r="AQ43" s="27" t="s">
        <v>7</v>
      </c>
      <c r="AV43" s="32">
        <f>AW43+AX43</f>
        <v>0</v>
      </c>
      <c r="AW43" s="32">
        <f>G43*AO43</f>
        <v>0</v>
      </c>
      <c r="AX43" s="32">
        <f>G43*AP43</f>
        <v>0</v>
      </c>
      <c r="AY43" s="33" t="s">
        <v>653</v>
      </c>
      <c r="AZ43" s="33" t="s">
        <v>675</v>
      </c>
      <c r="BA43" s="28" t="s">
        <v>681</v>
      </c>
      <c r="BC43" s="32">
        <f>AW43+AX43</f>
        <v>0</v>
      </c>
      <c r="BD43" s="32">
        <f>H43/(100-BE43)*100</f>
        <v>0</v>
      </c>
      <c r="BE43" s="32">
        <v>0</v>
      </c>
      <c r="BF43" s="32">
        <f>41</f>
        <v>41</v>
      </c>
      <c r="BH43" s="15">
        <f>G43*AO43</f>
        <v>0</v>
      </c>
      <c r="BI43" s="15">
        <f>G43*AP43</f>
        <v>0</v>
      </c>
      <c r="BJ43" s="15">
        <f>G43*H43</f>
        <v>0</v>
      </c>
    </row>
    <row r="44" spans="1:62" x14ac:dyDescent="0.2">
      <c r="C44" s="58" t="s">
        <v>302</v>
      </c>
      <c r="D44" s="59"/>
      <c r="E44" s="59"/>
      <c r="G44" s="16">
        <v>92.42</v>
      </c>
    </row>
    <row r="45" spans="1:62" x14ac:dyDescent="0.2">
      <c r="A45" s="5"/>
      <c r="B45" s="13" t="s">
        <v>68</v>
      </c>
      <c r="C45" s="66" t="s">
        <v>303</v>
      </c>
      <c r="D45" s="67"/>
      <c r="E45" s="67"/>
      <c r="F45" s="5" t="s">
        <v>6</v>
      </c>
      <c r="G45" s="5" t="s">
        <v>6</v>
      </c>
      <c r="H45" s="5" t="s">
        <v>6</v>
      </c>
      <c r="I45" s="35">
        <f>SUM(I46:I135)</f>
        <v>0</v>
      </c>
      <c r="J45" s="35">
        <f>SUM(J46:J135)</f>
        <v>0</v>
      </c>
      <c r="K45" s="35">
        <f>SUM(K46:K135)</f>
        <v>0</v>
      </c>
      <c r="L45" s="28"/>
      <c r="AI45" s="28"/>
      <c r="AS45" s="35">
        <f>SUM(AJ46:AJ135)</f>
        <v>0</v>
      </c>
      <c r="AT45" s="35">
        <f>SUM(AK46:AK135)</f>
        <v>0</v>
      </c>
      <c r="AU45" s="35">
        <f>SUM(AL46:AL135)</f>
        <v>0</v>
      </c>
    </row>
    <row r="46" spans="1:62" x14ac:dyDescent="0.2">
      <c r="A46" s="4" t="s">
        <v>18</v>
      </c>
      <c r="B46" s="4" t="s">
        <v>144</v>
      </c>
      <c r="C46" s="60" t="s">
        <v>304</v>
      </c>
      <c r="D46" s="61"/>
      <c r="E46" s="61"/>
      <c r="F46" s="4" t="s">
        <v>616</v>
      </c>
      <c r="G46" s="15">
        <v>9</v>
      </c>
      <c r="H46" s="15">
        <v>0</v>
      </c>
      <c r="I46" s="15">
        <f>G46*AO46</f>
        <v>0</v>
      </c>
      <c r="J46" s="15">
        <f>G46*AP46</f>
        <v>0</v>
      </c>
      <c r="K46" s="15">
        <f>G46*H46</f>
        <v>0</v>
      </c>
      <c r="L46" s="27" t="s">
        <v>636</v>
      </c>
      <c r="Z46" s="32">
        <f>IF(AQ46="5",BJ46,0)</f>
        <v>0</v>
      </c>
      <c r="AB46" s="32">
        <f>IF(AQ46="1",BH46,0)</f>
        <v>0</v>
      </c>
      <c r="AC46" s="32">
        <f>IF(AQ46="1",BI46,0)</f>
        <v>0</v>
      </c>
      <c r="AD46" s="32">
        <f>IF(AQ46="7",BH46,0)</f>
        <v>0</v>
      </c>
      <c r="AE46" s="32">
        <f>IF(AQ46="7",BI46,0)</f>
        <v>0</v>
      </c>
      <c r="AF46" s="32">
        <f>IF(AQ46="2",BH46,0)</f>
        <v>0</v>
      </c>
      <c r="AG46" s="32">
        <f>IF(AQ46="2",BI46,0)</f>
        <v>0</v>
      </c>
      <c r="AH46" s="32">
        <f>IF(AQ46="0",BJ46,0)</f>
        <v>0</v>
      </c>
      <c r="AI46" s="28"/>
      <c r="AJ46" s="15">
        <f>IF(AN46=0,K46,0)</f>
        <v>0</v>
      </c>
      <c r="AK46" s="15">
        <f>IF(AN46=15,K46,0)</f>
        <v>0</v>
      </c>
      <c r="AL46" s="15">
        <f>IF(AN46=21,K46,0)</f>
        <v>0</v>
      </c>
      <c r="AN46" s="32">
        <v>21</v>
      </c>
      <c r="AO46" s="32">
        <f>H46*0.707709923664122</f>
        <v>0</v>
      </c>
      <c r="AP46" s="32">
        <f>H46*(1-0.707709923664122)</f>
        <v>0</v>
      </c>
      <c r="AQ46" s="27" t="s">
        <v>7</v>
      </c>
      <c r="AV46" s="32">
        <f>AW46+AX46</f>
        <v>0</v>
      </c>
      <c r="AW46" s="32">
        <f>G46*AO46</f>
        <v>0</v>
      </c>
      <c r="AX46" s="32">
        <f>G46*AP46</f>
        <v>0</v>
      </c>
      <c r="AY46" s="33" t="s">
        <v>654</v>
      </c>
      <c r="AZ46" s="33" t="s">
        <v>675</v>
      </c>
      <c r="BA46" s="28" t="s">
        <v>681</v>
      </c>
      <c r="BC46" s="32">
        <f>AW46+AX46</f>
        <v>0</v>
      </c>
      <c r="BD46" s="32">
        <f>H46/(100-BE46)*100</f>
        <v>0</v>
      </c>
      <c r="BE46" s="32">
        <v>0</v>
      </c>
      <c r="BF46" s="32">
        <f>44</f>
        <v>44</v>
      </c>
      <c r="BH46" s="15">
        <f>G46*AO46</f>
        <v>0</v>
      </c>
      <c r="BI46" s="15">
        <f>G46*AP46</f>
        <v>0</v>
      </c>
      <c r="BJ46" s="15">
        <f>G46*H46</f>
        <v>0</v>
      </c>
    </row>
    <row r="47" spans="1:62" x14ac:dyDescent="0.2">
      <c r="C47" s="58" t="s">
        <v>305</v>
      </c>
      <c r="D47" s="59"/>
      <c r="E47" s="59"/>
      <c r="G47" s="16">
        <v>9</v>
      </c>
    </row>
    <row r="48" spans="1:62" x14ac:dyDescent="0.2">
      <c r="A48" s="4" t="s">
        <v>19</v>
      </c>
      <c r="B48" s="4" t="s">
        <v>145</v>
      </c>
      <c r="C48" s="60" t="s">
        <v>306</v>
      </c>
      <c r="D48" s="61"/>
      <c r="E48" s="61"/>
      <c r="F48" s="4" t="s">
        <v>613</v>
      </c>
      <c r="G48" s="15">
        <v>28.5</v>
      </c>
      <c r="H48" s="15">
        <v>0</v>
      </c>
      <c r="I48" s="15">
        <f>G48*AO48</f>
        <v>0</v>
      </c>
      <c r="J48" s="15">
        <f>G48*AP48</f>
        <v>0</v>
      </c>
      <c r="K48" s="15">
        <f>G48*H48</f>
        <v>0</v>
      </c>
      <c r="L48" s="27" t="s">
        <v>636</v>
      </c>
      <c r="Z48" s="32">
        <f>IF(AQ48="5",BJ48,0)</f>
        <v>0</v>
      </c>
      <c r="AB48" s="32">
        <f>IF(AQ48="1",BH48,0)</f>
        <v>0</v>
      </c>
      <c r="AC48" s="32">
        <f>IF(AQ48="1",BI48,0)</f>
        <v>0</v>
      </c>
      <c r="AD48" s="32">
        <f>IF(AQ48="7",BH48,0)</f>
        <v>0</v>
      </c>
      <c r="AE48" s="32">
        <f>IF(AQ48="7",BI48,0)</f>
        <v>0</v>
      </c>
      <c r="AF48" s="32">
        <f>IF(AQ48="2",BH48,0)</f>
        <v>0</v>
      </c>
      <c r="AG48" s="32">
        <f>IF(AQ48="2",BI48,0)</f>
        <v>0</v>
      </c>
      <c r="AH48" s="32">
        <f>IF(AQ48="0",BJ48,0)</f>
        <v>0</v>
      </c>
      <c r="AI48" s="28"/>
      <c r="AJ48" s="15">
        <f>IF(AN48=0,K48,0)</f>
        <v>0</v>
      </c>
      <c r="AK48" s="15">
        <f>IF(AN48=15,K48,0)</f>
        <v>0</v>
      </c>
      <c r="AL48" s="15">
        <f>IF(AN48=21,K48,0)</f>
        <v>0</v>
      </c>
      <c r="AN48" s="32">
        <v>21</v>
      </c>
      <c r="AO48" s="32">
        <f>H48*0.612617392400136</f>
        <v>0</v>
      </c>
      <c r="AP48" s="32">
        <f>H48*(1-0.612617392400136)</f>
        <v>0</v>
      </c>
      <c r="AQ48" s="27" t="s">
        <v>7</v>
      </c>
      <c r="AV48" s="32">
        <f>AW48+AX48</f>
        <v>0</v>
      </c>
      <c r="AW48" s="32">
        <f>G48*AO48</f>
        <v>0</v>
      </c>
      <c r="AX48" s="32">
        <f>G48*AP48</f>
        <v>0</v>
      </c>
      <c r="AY48" s="33" t="s">
        <v>654</v>
      </c>
      <c r="AZ48" s="33" t="s">
        <v>675</v>
      </c>
      <c r="BA48" s="28" t="s">
        <v>681</v>
      </c>
      <c r="BC48" s="32">
        <f>AW48+AX48</f>
        <v>0</v>
      </c>
      <c r="BD48" s="32">
        <f>H48/(100-BE48)*100</f>
        <v>0</v>
      </c>
      <c r="BE48" s="32">
        <v>0</v>
      </c>
      <c r="BF48" s="32">
        <f>46</f>
        <v>46</v>
      </c>
      <c r="BH48" s="15">
        <f>G48*AO48</f>
        <v>0</v>
      </c>
      <c r="BI48" s="15">
        <f>G48*AP48</f>
        <v>0</v>
      </c>
      <c r="BJ48" s="15">
        <f>G48*H48</f>
        <v>0</v>
      </c>
    </row>
    <row r="49" spans="1:62" x14ac:dyDescent="0.2">
      <c r="C49" s="58" t="s">
        <v>307</v>
      </c>
      <c r="D49" s="59"/>
      <c r="E49" s="59"/>
      <c r="G49" s="16">
        <v>28.5</v>
      </c>
    </row>
    <row r="50" spans="1:62" x14ac:dyDescent="0.2">
      <c r="A50" s="4" t="s">
        <v>20</v>
      </c>
      <c r="B50" s="4" t="s">
        <v>145</v>
      </c>
      <c r="C50" s="60" t="s">
        <v>308</v>
      </c>
      <c r="D50" s="61"/>
      <c r="E50" s="61"/>
      <c r="F50" s="4" t="s">
        <v>613</v>
      </c>
      <c r="G50" s="15">
        <v>47.5</v>
      </c>
      <c r="H50" s="15">
        <v>0</v>
      </c>
      <c r="I50" s="15">
        <f>G50*AO50</f>
        <v>0</v>
      </c>
      <c r="J50" s="15">
        <f>G50*AP50</f>
        <v>0</v>
      </c>
      <c r="K50" s="15">
        <f>G50*H50</f>
        <v>0</v>
      </c>
      <c r="L50" s="27" t="s">
        <v>636</v>
      </c>
      <c r="Z50" s="32">
        <f>IF(AQ50="5",BJ50,0)</f>
        <v>0</v>
      </c>
      <c r="AB50" s="32">
        <f>IF(AQ50="1",BH50,0)</f>
        <v>0</v>
      </c>
      <c r="AC50" s="32">
        <f>IF(AQ50="1",BI50,0)</f>
        <v>0</v>
      </c>
      <c r="AD50" s="32">
        <f>IF(AQ50="7",BH50,0)</f>
        <v>0</v>
      </c>
      <c r="AE50" s="32">
        <f>IF(AQ50="7",BI50,0)</f>
        <v>0</v>
      </c>
      <c r="AF50" s="32">
        <f>IF(AQ50="2",BH50,0)</f>
        <v>0</v>
      </c>
      <c r="AG50" s="32">
        <f>IF(AQ50="2",BI50,0)</f>
        <v>0</v>
      </c>
      <c r="AH50" s="32">
        <f>IF(AQ50="0",BJ50,0)</f>
        <v>0</v>
      </c>
      <c r="AI50" s="28"/>
      <c r="AJ50" s="15">
        <f>IF(AN50=0,K50,0)</f>
        <v>0</v>
      </c>
      <c r="AK50" s="15">
        <f>IF(AN50=15,K50,0)</f>
        <v>0</v>
      </c>
      <c r="AL50" s="15">
        <f>IF(AN50=21,K50,0)</f>
        <v>0</v>
      </c>
      <c r="AN50" s="32">
        <v>21</v>
      </c>
      <c r="AO50" s="32">
        <f>H50*0.612617434017051</f>
        <v>0</v>
      </c>
      <c r="AP50" s="32">
        <f>H50*(1-0.612617434017051)</f>
        <v>0</v>
      </c>
      <c r="AQ50" s="27" t="s">
        <v>7</v>
      </c>
      <c r="AV50" s="32">
        <f>AW50+AX50</f>
        <v>0</v>
      </c>
      <c r="AW50" s="32">
        <f>G50*AO50</f>
        <v>0</v>
      </c>
      <c r="AX50" s="32">
        <f>G50*AP50</f>
        <v>0</v>
      </c>
      <c r="AY50" s="33" t="s">
        <v>654</v>
      </c>
      <c r="AZ50" s="33" t="s">
        <v>675</v>
      </c>
      <c r="BA50" s="28" t="s">
        <v>681</v>
      </c>
      <c r="BC50" s="32">
        <f>AW50+AX50</f>
        <v>0</v>
      </c>
      <c r="BD50" s="32">
        <f>H50/(100-BE50)*100</f>
        <v>0</v>
      </c>
      <c r="BE50" s="32">
        <v>0</v>
      </c>
      <c r="BF50" s="32">
        <f>48</f>
        <v>48</v>
      </c>
      <c r="BH50" s="15">
        <f>G50*AO50</f>
        <v>0</v>
      </c>
      <c r="BI50" s="15">
        <f>G50*AP50</f>
        <v>0</v>
      </c>
      <c r="BJ50" s="15">
        <f>G50*H50</f>
        <v>0</v>
      </c>
    </row>
    <row r="51" spans="1:62" x14ac:dyDescent="0.2">
      <c r="C51" s="58" t="s">
        <v>309</v>
      </c>
      <c r="D51" s="59"/>
      <c r="E51" s="59"/>
      <c r="G51" s="16">
        <v>47.5</v>
      </c>
    </row>
    <row r="52" spans="1:62" x14ac:dyDescent="0.2">
      <c r="A52" s="4" t="s">
        <v>21</v>
      </c>
      <c r="B52" s="4" t="s">
        <v>146</v>
      </c>
      <c r="C52" s="60" t="s">
        <v>310</v>
      </c>
      <c r="D52" s="61"/>
      <c r="E52" s="61"/>
      <c r="F52" s="4" t="s">
        <v>613</v>
      </c>
      <c r="G52" s="15">
        <v>95</v>
      </c>
      <c r="H52" s="15">
        <v>0</v>
      </c>
      <c r="I52" s="15">
        <f>G52*AO52</f>
        <v>0</v>
      </c>
      <c r="J52" s="15">
        <f>G52*AP52</f>
        <v>0</v>
      </c>
      <c r="K52" s="15">
        <f>G52*H52</f>
        <v>0</v>
      </c>
      <c r="L52" s="27" t="s">
        <v>636</v>
      </c>
      <c r="Z52" s="32">
        <f>IF(AQ52="5",BJ52,0)</f>
        <v>0</v>
      </c>
      <c r="AB52" s="32">
        <f>IF(AQ52="1",BH52,0)</f>
        <v>0</v>
      </c>
      <c r="AC52" s="32">
        <f>IF(AQ52="1",BI52,0)</f>
        <v>0</v>
      </c>
      <c r="AD52" s="32">
        <f>IF(AQ52="7",BH52,0)</f>
        <v>0</v>
      </c>
      <c r="AE52" s="32">
        <f>IF(AQ52="7",BI52,0)</f>
        <v>0</v>
      </c>
      <c r="AF52" s="32">
        <f>IF(AQ52="2",BH52,0)</f>
        <v>0</v>
      </c>
      <c r="AG52" s="32">
        <f>IF(AQ52="2",BI52,0)</f>
        <v>0</v>
      </c>
      <c r="AH52" s="32">
        <f>IF(AQ52="0",BJ52,0)</f>
        <v>0</v>
      </c>
      <c r="AI52" s="28"/>
      <c r="AJ52" s="15">
        <f>IF(AN52=0,K52,0)</f>
        <v>0</v>
      </c>
      <c r="AK52" s="15">
        <f>IF(AN52=15,K52,0)</f>
        <v>0</v>
      </c>
      <c r="AL52" s="15">
        <f>IF(AN52=21,K52,0)</f>
        <v>0</v>
      </c>
      <c r="AN52" s="32">
        <v>21</v>
      </c>
      <c r="AO52" s="32">
        <f>H52*0.663979899497487</f>
        <v>0</v>
      </c>
      <c r="AP52" s="32">
        <f>H52*(1-0.663979899497487)</f>
        <v>0</v>
      </c>
      <c r="AQ52" s="27" t="s">
        <v>7</v>
      </c>
      <c r="AV52" s="32">
        <f>AW52+AX52</f>
        <v>0</v>
      </c>
      <c r="AW52" s="32">
        <f>G52*AO52</f>
        <v>0</v>
      </c>
      <c r="AX52" s="32">
        <f>G52*AP52</f>
        <v>0</v>
      </c>
      <c r="AY52" s="33" t="s">
        <v>654</v>
      </c>
      <c r="AZ52" s="33" t="s">
        <v>675</v>
      </c>
      <c r="BA52" s="28" t="s">
        <v>681</v>
      </c>
      <c r="BC52" s="32">
        <f>AW52+AX52</f>
        <v>0</v>
      </c>
      <c r="BD52" s="32">
        <f>H52/(100-BE52)*100</f>
        <v>0</v>
      </c>
      <c r="BE52" s="32">
        <v>0</v>
      </c>
      <c r="BF52" s="32">
        <f>50</f>
        <v>50</v>
      </c>
      <c r="BH52" s="15">
        <f>G52*AO52</f>
        <v>0</v>
      </c>
      <c r="BI52" s="15">
        <f>G52*AP52</f>
        <v>0</v>
      </c>
      <c r="BJ52" s="15">
        <f>G52*H52</f>
        <v>0</v>
      </c>
    </row>
    <row r="53" spans="1:62" x14ac:dyDescent="0.2">
      <c r="C53" s="58" t="s">
        <v>311</v>
      </c>
      <c r="D53" s="59"/>
      <c r="E53" s="59"/>
      <c r="G53" s="16">
        <v>95</v>
      </c>
    </row>
    <row r="54" spans="1:62" x14ac:dyDescent="0.2">
      <c r="A54" s="4" t="s">
        <v>22</v>
      </c>
      <c r="B54" s="4" t="s">
        <v>147</v>
      </c>
      <c r="C54" s="60" t="s">
        <v>312</v>
      </c>
      <c r="D54" s="61"/>
      <c r="E54" s="61"/>
      <c r="F54" s="4" t="s">
        <v>613</v>
      </c>
      <c r="G54" s="15">
        <v>225.47900000000001</v>
      </c>
      <c r="H54" s="15">
        <v>0</v>
      </c>
      <c r="I54" s="15">
        <f>G54*AO54</f>
        <v>0</v>
      </c>
      <c r="J54" s="15">
        <f>G54*AP54</f>
        <v>0</v>
      </c>
      <c r="K54" s="15">
        <f>G54*H54</f>
        <v>0</v>
      </c>
      <c r="L54" s="27" t="s">
        <v>636</v>
      </c>
      <c r="Z54" s="32">
        <f>IF(AQ54="5",BJ54,0)</f>
        <v>0</v>
      </c>
      <c r="AB54" s="32">
        <f>IF(AQ54="1",BH54,0)</f>
        <v>0</v>
      </c>
      <c r="AC54" s="32">
        <f>IF(AQ54="1",BI54,0)</f>
        <v>0</v>
      </c>
      <c r="AD54" s="32">
        <f>IF(AQ54="7",BH54,0)</f>
        <v>0</v>
      </c>
      <c r="AE54" s="32">
        <f>IF(AQ54="7",BI54,0)</f>
        <v>0</v>
      </c>
      <c r="AF54" s="32">
        <f>IF(AQ54="2",BH54,0)</f>
        <v>0</v>
      </c>
      <c r="AG54" s="32">
        <f>IF(AQ54="2",BI54,0)</f>
        <v>0</v>
      </c>
      <c r="AH54" s="32">
        <f>IF(AQ54="0",BJ54,0)</f>
        <v>0</v>
      </c>
      <c r="AI54" s="28"/>
      <c r="AJ54" s="15">
        <f>IF(AN54=0,K54,0)</f>
        <v>0</v>
      </c>
      <c r="AK54" s="15">
        <f>IF(AN54=15,K54,0)</f>
        <v>0</v>
      </c>
      <c r="AL54" s="15">
        <f>IF(AN54=21,K54,0)</f>
        <v>0</v>
      </c>
      <c r="AN54" s="32">
        <v>21</v>
      </c>
      <c r="AO54" s="32">
        <f>H54*0.474687215395422</f>
        <v>0</v>
      </c>
      <c r="AP54" s="32">
        <f>H54*(1-0.474687215395422)</f>
        <v>0</v>
      </c>
      <c r="AQ54" s="27" t="s">
        <v>7</v>
      </c>
      <c r="AV54" s="32">
        <f>AW54+AX54</f>
        <v>0</v>
      </c>
      <c r="AW54" s="32">
        <f>G54*AO54</f>
        <v>0</v>
      </c>
      <c r="AX54" s="32">
        <f>G54*AP54</f>
        <v>0</v>
      </c>
      <c r="AY54" s="33" t="s">
        <v>654</v>
      </c>
      <c r="AZ54" s="33" t="s">
        <v>675</v>
      </c>
      <c r="BA54" s="28" t="s">
        <v>681</v>
      </c>
      <c r="BC54" s="32">
        <f>AW54+AX54</f>
        <v>0</v>
      </c>
      <c r="BD54" s="32">
        <f>H54/(100-BE54)*100</f>
        <v>0</v>
      </c>
      <c r="BE54" s="32">
        <v>0</v>
      </c>
      <c r="BF54" s="32">
        <f>52</f>
        <v>52</v>
      </c>
      <c r="BH54" s="15">
        <f>G54*AO54</f>
        <v>0</v>
      </c>
      <c r="BI54" s="15">
        <f>G54*AP54</f>
        <v>0</v>
      </c>
      <c r="BJ54" s="15">
        <f>G54*H54</f>
        <v>0</v>
      </c>
    </row>
    <row r="55" spans="1:62" x14ac:dyDescent="0.2">
      <c r="C55" s="58" t="s">
        <v>313</v>
      </c>
      <c r="D55" s="59"/>
      <c r="E55" s="59"/>
      <c r="G55" s="16">
        <v>332.5</v>
      </c>
    </row>
    <row r="56" spans="1:62" x14ac:dyDescent="0.2">
      <c r="C56" s="58" t="s">
        <v>314</v>
      </c>
      <c r="D56" s="59"/>
      <c r="E56" s="59"/>
      <c r="G56" s="16">
        <v>-39.170999999999999</v>
      </c>
    </row>
    <row r="57" spans="1:62" x14ac:dyDescent="0.2">
      <c r="C57" s="58" t="s">
        <v>315</v>
      </c>
      <c r="D57" s="59"/>
      <c r="E57" s="59"/>
      <c r="G57" s="16">
        <v>-75.55</v>
      </c>
    </row>
    <row r="58" spans="1:62" x14ac:dyDescent="0.2">
      <c r="C58" s="58" t="s">
        <v>316</v>
      </c>
      <c r="D58" s="59"/>
      <c r="E58" s="59"/>
      <c r="G58" s="16">
        <v>7.7</v>
      </c>
    </row>
    <row r="59" spans="1:62" x14ac:dyDescent="0.2">
      <c r="A59" s="4" t="s">
        <v>23</v>
      </c>
      <c r="B59" s="4" t="s">
        <v>148</v>
      </c>
      <c r="C59" s="60" t="s">
        <v>317</v>
      </c>
      <c r="D59" s="61"/>
      <c r="E59" s="61"/>
      <c r="F59" s="4" t="s">
        <v>613</v>
      </c>
      <c r="G59" s="15">
        <v>53.543999999999997</v>
      </c>
      <c r="H59" s="15">
        <v>0</v>
      </c>
      <c r="I59" s="15">
        <f>G59*AO59</f>
        <v>0</v>
      </c>
      <c r="J59" s="15">
        <f>G59*AP59</f>
        <v>0</v>
      </c>
      <c r="K59" s="15">
        <f>G59*H59</f>
        <v>0</v>
      </c>
      <c r="L59" s="27" t="s">
        <v>636</v>
      </c>
      <c r="Z59" s="32">
        <f>IF(AQ59="5",BJ59,0)</f>
        <v>0</v>
      </c>
      <c r="AB59" s="32">
        <f>IF(AQ59="1",BH59,0)</f>
        <v>0</v>
      </c>
      <c r="AC59" s="32">
        <f>IF(AQ59="1",BI59,0)</f>
        <v>0</v>
      </c>
      <c r="AD59" s="32">
        <f>IF(AQ59="7",BH59,0)</f>
        <v>0</v>
      </c>
      <c r="AE59" s="32">
        <f>IF(AQ59="7",BI59,0)</f>
        <v>0</v>
      </c>
      <c r="AF59" s="32">
        <f>IF(AQ59="2",BH59,0)</f>
        <v>0</v>
      </c>
      <c r="AG59" s="32">
        <f>IF(AQ59="2",BI59,0)</f>
        <v>0</v>
      </c>
      <c r="AH59" s="32">
        <f>IF(AQ59="0",BJ59,0)</f>
        <v>0</v>
      </c>
      <c r="AI59" s="28"/>
      <c r="AJ59" s="15">
        <f>IF(AN59=0,K59,0)</f>
        <v>0</v>
      </c>
      <c r="AK59" s="15">
        <f>IF(AN59=15,K59,0)</f>
        <v>0</v>
      </c>
      <c r="AL59" s="15">
        <f>IF(AN59=21,K59,0)</f>
        <v>0</v>
      </c>
      <c r="AN59" s="32">
        <v>21</v>
      </c>
      <c r="AO59" s="32">
        <f>H59*0.346495192307692</f>
        <v>0</v>
      </c>
      <c r="AP59" s="32">
        <f>H59*(1-0.346495192307692)</f>
        <v>0</v>
      </c>
      <c r="AQ59" s="27" t="s">
        <v>7</v>
      </c>
      <c r="AV59" s="32">
        <f>AW59+AX59</f>
        <v>0</v>
      </c>
      <c r="AW59" s="32">
        <f>G59*AO59</f>
        <v>0</v>
      </c>
      <c r="AX59" s="32">
        <f>G59*AP59</f>
        <v>0</v>
      </c>
      <c r="AY59" s="33" t="s">
        <v>654</v>
      </c>
      <c r="AZ59" s="33" t="s">
        <v>675</v>
      </c>
      <c r="BA59" s="28" t="s">
        <v>681</v>
      </c>
      <c r="BC59" s="32">
        <f>AW59+AX59</f>
        <v>0</v>
      </c>
      <c r="BD59" s="32">
        <f>H59/(100-BE59)*100</f>
        <v>0</v>
      </c>
      <c r="BE59" s="32">
        <v>0</v>
      </c>
      <c r="BF59" s="32">
        <f>57</f>
        <v>57</v>
      </c>
      <c r="BH59" s="15">
        <f>G59*AO59</f>
        <v>0</v>
      </c>
      <c r="BI59" s="15">
        <f>G59*AP59</f>
        <v>0</v>
      </c>
      <c r="BJ59" s="15">
        <f>G59*H59</f>
        <v>0</v>
      </c>
    </row>
    <row r="60" spans="1:62" x14ac:dyDescent="0.2">
      <c r="C60" s="58" t="s">
        <v>318</v>
      </c>
      <c r="D60" s="59"/>
      <c r="E60" s="59"/>
      <c r="G60" s="16">
        <v>15.12</v>
      </c>
    </row>
    <row r="61" spans="1:62" x14ac:dyDescent="0.2">
      <c r="C61" s="58" t="s">
        <v>319</v>
      </c>
      <c r="D61" s="59"/>
      <c r="E61" s="59"/>
      <c r="G61" s="16">
        <v>2.16</v>
      </c>
    </row>
    <row r="62" spans="1:62" x14ac:dyDescent="0.2">
      <c r="C62" s="58" t="s">
        <v>320</v>
      </c>
      <c r="D62" s="59"/>
      <c r="E62" s="59"/>
      <c r="G62" s="16">
        <v>1.89</v>
      </c>
    </row>
    <row r="63" spans="1:62" x14ac:dyDescent="0.2">
      <c r="C63" s="58" t="s">
        <v>321</v>
      </c>
      <c r="D63" s="59"/>
      <c r="E63" s="59"/>
      <c r="G63" s="16">
        <v>3.96</v>
      </c>
    </row>
    <row r="64" spans="1:62" x14ac:dyDescent="0.2">
      <c r="C64" s="58" t="s">
        <v>322</v>
      </c>
      <c r="D64" s="59"/>
      <c r="E64" s="59"/>
      <c r="G64" s="16">
        <v>2.7</v>
      </c>
    </row>
    <row r="65" spans="1:62" x14ac:dyDescent="0.2">
      <c r="C65" s="58" t="s">
        <v>323</v>
      </c>
      <c r="D65" s="59"/>
      <c r="E65" s="59"/>
      <c r="G65" s="16">
        <v>3.42</v>
      </c>
    </row>
    <row r="66" spans="1:62" x14ac:dyDescent="0.2">
      <c r="C66" s="58" t="s">
        <v>324</v>
      </c>
      <c r="D66" s="59"/>
      <c r="E66" s="59"/>
      <c r="G66" s="16">
        <v>0</v>
      </c>
    </row>
    <row r="67" spans="1:62" x14ac:dyDescent="0.2">
      <c r="C67" s="58" t="s">
        <v>325</v>
      </c>
      <c r="D67" s="59"/>
      <c r="E67" s="59"/>
      <c r="G67" s="16">
        <v>3.3540000000000001</v>
      </c>
    </row>
    <row r="68" spans="1:62" x14ac:dyDescent="0.2">
      <c r="C68" s="58" t="s">
        <v>326</v>
      </c>
      <c r="D68" s="59"/>
      <c r="E68" s="59"/>
      <c r="G68" s="16">
        <v>7.2</v>
      </c>
    </row>
    <row r="69" spans="1:62" x14ac:dyDescent="0.2">
      <c r="C69" s="58" t="s">
        <v>327</v>
      </c>
      <c r="D69" s="59"/>
      <c r="E69" s="59"/>
      <c r="G69" s="16">
        <v>1.53</v>
      </c>
    </row>
    <row r="70" spans="1:62" x14ac:dyDescent="0.2">
      <c r="C70" s="58" t="s">
        <v>328</v>
      </c>
      <c r="D70" s="59"/>
      <c r="E70" s="59"/>
      <c r="G70" s="16">
        <v>4.05</v>
      </c>
    </row>
    <row r="71" spans="1:62" x14ac:dyDescent="0.2">
      <c r="C71" s="58" t="s">
        <v>329</v>
      </c>
      <c r="D71" s="59"/>
      <c r="E71" s="59"/>
      <c r="G71" s="16">
        <v>5.76</v>
      </c>
    </row>
    <row r="72" spans="1:62" x14ac:dyDescent="0.2">
      <c r="C72" s="58" t="s">
        <v>330</v>
      </c>
      <c r="D72" s="59"/>
      <c r="E72" s="59"/>
      <c r="G72" s="16">
        <v>2.4</v>
      </c>
    </row>
    <row r="73" spans="1:62" x14ac:dyDescent="0.2">
      <c r="A73" s="4" t="s">
        <v>24</v>
      </c>
      <c r="B73" s="4" t="s">
        <v>149</v>
      </c>
      <c r="C73" s="60" t="s">
        <v>331</v>
      </c>
      <c r="D73" s="61"/>
      <c r="E73" s="61"/>
      <c r="F73" s="4" t="s">
        <v>613</v>
      </c>
      <c r="G73" s="15">
        <v>15.39</v>
      </c>
      <c r="H73" s="15">
        <v>0</v>
      </c>
      <c r="I73" s="15">
        <f>G73*AO73</f>
        <v>0</v>
      </c>
      <c r="J73" s="15">
        <f>G73*AP73</f>
        <v>0</v>
      </c>
      <c r="K73" s="15">
        <f>G73*H73</f>
        <v>0</v>
      </c>
      <c r="L73" s="27" t="s">
        <v>636</v>
      </c>
      <c r="Z73" s="32">
        <f>IF(AQ73="5",BJ73,0)</f>
        <v>0</v>
      </c>
      <c r="AB73" s="32">
        <f>IF(AQ73="1",BH73,0)</f>
        <v>0</v>
      </c>
      <c r="AC73" s="32">
        <f>IF(AQ73="1",BI73,0)</f>
        <v>0</v>
      </c>
      <c r="AD73" s="32">
        <f>IF(AQ73="7",BH73,0)</f>
        <v>0</v>
      </c>
      <c r="AE73" s="32">
        <f>IF(AQ73="7",BI73,0)</f>
        <v>0</v>
      </c>
      <c r="AF73" s="32">
        <f>IF(AQ73="2",BH73,0)</f>
        <v>0</v>
      </c>
      <c r="AG73" s="32">
        <f>IF(AQ73="2",BI73,0)</f>
        <v>0</v>
      </c>
      <c r="AH73" s="32">
        <f>IF(AQ73="0",BJ73,0)</f>
        <v>0</v>
      </c>
      <c r="AI73" s="28"/>
      <c r="AJ73" s="15">
        <f>IF(AN73=0,K73,0)</f>
        <v>0</v>
      </c>
      <c r="AK73" s="15">
        <f>IF(AN73=15,K73,0)</f>
        <v>0</v>
      </c>
      <c r="AL73" s="15">
        <f>IF(AN73=21,K73,0)</f>
        <v>0</v>
      </c>
      <c r="AN73" s="32">
        <v>21</v>
      </c>
      <c r="AO73" s="32">
        <f>H73*0.31556731790306</f>
        <v>0</v>
      </c>
      <c r="AP73" s="32">
        <f>H73*(1-0.31556731790306)</f>
        <v>0</v>
      </c>
      <c r="AQ73" s="27" t="s">
        <v>7</v>
      </c>
      <c r="AV73" s="32">
        <f>AW73+AX73</f>
        <v>0</v>
      </c>
      <c r="AW73" s="32">
        <f>G73*AO73</f>
        <v>0</v>
      </c>
      <c r="AX73" s="32">
        <f>G73*AP73</f>
        <v>0</v>
      </c>
      <c r="AY73" s="33" t="s">
        <v>654</v>
      </c>
      <c r="AZ73" s="33" t="s">
        <v>675</v>
      </c>
      <c r="BA73" s="28" t="s">
        <v>681</v>
      </c>
      <c r="BC73" s="32">
        <f>AW73+AX73</f>
        <v>0</v>
      </c>
      <c r="BD73" s="32">
        <f>H73/(100-BE73)*100</f>
        <v>0</v>
      </c>
      <c r="BE73" s="32">
        <v>0</v>
      </c>
      <c r="BF73" s="32">
        <f>71</f>
        <v>71</v>
      </c>
      <c r="BH73" s="15">
        <f>G73*AO73</f>
        <v>0</v>
      </c>
      <c r="BI73" s="15">
        <f>G73*AP73</f>
        <v>0</v>
      </c>
      <c r="BJ73" s="15">
        <f>G73*H73</f>
        <v>0</v>
      </c>
    </row>
    <row r="74" spans="1:62" x14ac:dyDescent="0.2">
      <c r="C74" s="58" t="s">
        <v>332</v>
      </c>
      <c r="D74" s="59"/>
      <c r="E74" s="59"/>
      <c r="G74" s="16">
        <v>15.39</v>
      </c>
    </row>
    <row r="75" spans="1:62" x14ac:dyDescent="0.2">
      <c r="A75" s="4" t="s">
        <v>25</v>
      </c>
      <c r="B75" s="4" t="s">
        <v>150</v>
      </c>
      <c r="C75" s="60" t="s">
        <v>333</v>
      </c>
      <c r="D75" s="61"/>
      <c r="E75" s="61"/>
      <c r="F75" s="4" t="s">
        <v>613</v>
      </c>
      <c r="G75" s="15">
        <v>190</v>
      </c>
      <c r="H75" s="15">
        <v>0</v>
      </c>
      <c r="I75" s="15">
        <f>G75*AO75</f>
        <v>0</v>
      </c>
      <c r="J75" s="15">
        <f>G75*AP75</f>
        <v>0</v>
      </c>
      <c r="K75" s="15">
        <f>G75*H75</f>
        <v>0</v>
      </c>
      <c r="L75" s="27" t="s">
        <v>636</v>
      </c>
      <c r="Z75" s="32">
        <f>IF(AQ75="5",BJ75,0)</f>
        <v>0</v>
      </c>
      <c r="AB75" s="32">
        <f>IF(AQ75="1",BH75,0)</f>
        <v>0</v>
      </c>
      <c r="AC75" s="32">
        <f>IF(AQ75="1",BI75,0)</f>
        <v>0</v>
      </c>
      <c r="AD75" s="32">
        <f>IF(AQ75="7",BH75,0)</f>
        <v>0</v>
      </c>
      <c r="AE75" s="32">
        <f>IF(AQ75="7",BI75,0)</f>
        <v>0</v>
      </c>
      <c r="AF75" s="32">
        <f>IF(AQ75="2",BH75,0)</f>
        <v>0</v>
      </c>
      <c r="AG75" s="32">
        <f>IF(AQ75="2",BI75,0)</f>
        <v>0</v>
      </c>
      <c r="AH75" s="32">
        <f>IF(AQ75="0",BJ75,0)</f>
        <v>0</v>
      </c>
      <c r="AI75" s="28"/>
      <c r="AJ75" s="15">
        <f>IF(AN75=0,K75,0)</f>
        <v>0</v>
      </c>
      <c r="AK75" s="15">
        <f>IF(AN75=15,K75,0)</f>
        <v>0</v>
      </c>
      <c r="AL75" s="15">
        <f>IF(AN75=21,K75,0)</f>
        <v>0</v>
      </c>
      <c r="AN75" s="32">
        <v>21</v>
      </c>
      <c r="AO75" s="32">
        <f>H75*0.229030100334448</f>
        <v>0</v>
      </c>
      <c r="AP75" s="32">
        <f>H75*(1-0.229030100334448)</f>
        <v>0</v>
      </c>
      <c r="AQ75" s="27" t="s">
        <v>7</v>
      </c>
      <c r="AV75" s="32">
        <f>AW75+AX75</f>
        <v>0</v>
      </c>
      <c r="AW75" s="32">
        <f>G75*AO75</f>
        <v>0</v>
      </c>
      <c r="AX75" s="32">
        <f>G75*AP75</f>
        <v>0</v>
      </c>
      <c r="AY75" s="33" t="s">
        <v>654</v>
      </c>
      <c r="AZ75" s="33" t="s">
        <v>675</v>
      </c>
      <c r="BA75" s="28" t="s">
        <v>681</v>
      </c>
      <c r="BC75" s="32">
        <f>AW75+AX75</f>
        <v>0</v>
      </c>
      <c r="BD75" s="32">
        <f>H75/(100-BE75)*100</f>
        <v>0</v>
      </c>
      <c r="BE75" s="32">
        <v>0</v>
      </c>
      <c r="BF75" s="32">
        <f>73</f>
        <v>73</v>
      </c>
      <c r="BH75" s="15">
        <f>G75*AO75</f>
        <v>0</v>
      </c>
      <c r="BI75" s="15">
        <f>G75*AP75</f>
        <v>0</v>
      </c>
      <c r="BJ75" s="15">
        <f>G75*H75</f>
        <v>0</v>
      </c>
    </row>
    <row r="76" spans="1:62" x14ac:dyDescent="0.2">
      <c r="C76" s="58" t="s">
        <v>334</v>
      </c>
      <c r="D76" s="59"/>
      <c r="E76" s="59"/>
      <c r="G76" s="16">
        <v>190</v>
      </c>
    </row>
    <row r="77" spans="1:62" x14ac:dyDescent="0.2">
      <c r="A77" s="4" t="s">
        <v>26</v>
      </c>
      <c r="B77" s="4" t="s">
        <v>151</v>
      </c>
      <c r="C77" s="60" t="s">
        <v>335</v>
      </c>
      <c r="D77" s="61"/>
      <c r="E77" s="61"/>
      <c r="F77" s="4" t="s">
        <v>613</v>
      </c>
      <c r="G77" s="15">
        <v>118.64100000000001</v>
      </c>
      <c r="H77" s="15">
        <v>0</v>
      </c>
      <c r="I77" s="15">
        <f>G77*AO77</f>
        <v>0</v>
      </c>
      <c r="J77" s="15">
        <f>G77*AP77</f>
        <v>0</v>
      </c>
      <c r="K77" s="15">
        <f>G77*H77</f>
        <v>0</v>
      </c>
      <c r="L77" s="27" t="s">
        <v>636</v>
      </c>
      <c r="Z77" s="32">
        <f>IF(AQ77="5",BJ77,0)</f>
        <v>0</v>
      </c>
      <c r="AB77" s="32">
        <f>IF(AQ77="1",BH77,0)</f>
        <v>0</v>
      </c>
      <c r="AC77" s="32">
        <f>IF(AQ77="1",BI77,0)</f>
        <v>0</v>
      </c>
      <c r="AD77" s="32">
        <f>IF(AQ77="7",BH77,0)</f>
        <v>0</v>
      </c>
      <c r="AE77" s="32">
        <f>IF(AQ77="7",BI77,0)</f>
        <v>0</v>
      </c>
      <c r="AF77" s="32">
        <f>IF(AQ77="2",BH77,0)</f>
        <v>0</v>
      </c>
      <c r="AG77" s="32">
        <f>IF(AQ77="2",BI77,0)</f>
        <v>0</v>
      </c>
      <c r="AH77" s="32">
        <f>IF(AQ77="0",BJ77,0)</f>
        <v>0</v>
      </c>
      <c r="AI77" s="28"/>
      <c r="AJ77" s="15">
        <f>IF(AN77=0,K77,0)</f>
        <v>0</v>
      </c>
      <c r="AK77" s="15">
        <f>IF(AN77=15,K77,0)</f>
        <v>0</v>
      </c>
      <c r="AL77" s="15">
        <f>IF(AN77=21,K77,0)</f>
        <v>0</v>
      </c>
      <c r="AN77" s="32">
        <v>21</v>
      </c>
      <c r="AO77" s="32">
        <f>H77*0.293654467353635</f>
        <v>0</v>
      </c>
      <c r="AP77" s="32">
        <f>H77*(1-0.293654467353635)</f>
        <v>0</v>
      </c>
      <c r="AQ77" s="27" t="s">
        <v>7</v>
      </c>
      <c r="AV77" s="32">
        <f>AW77+AX77</f>
        <v>0</v>
      </c>
      <c r="AW77" s="32">
        <f>G77*AO77</f>
        <v>0</v>
      </c>
      <c r="AX77" s="32">
        <f>G77*AP77</f>
        <v>0</v>
      </c>
      <c r="AY77" s="33" t="s">
        <v>654</v>
      </c>
      <c r="AZ77" s="33" t="s">
        <v>675</v>
      </c>
      <c r="BA77" s="28" t="s">
        <v>681</v>
      </c>
      <c r="BC77" s="32">
        <f>AW77+AX77</f>
        <v>0</v>
      </c>
      <c r="BD77" s="32">
        <f>H77/(100-BE77)*100</f>
        <v>0</v>
      </c>
      <c r="BE77" s="32">
        <v>0</v>
      </c>
      <c r="BF77" s="32">
        <f>75</f>
        <v>75</v>
      </c>
      <c r="BH77" s="15">
        <f>G77*AO77</f>
        <v>0</v>
      </c>
      <c r="BI77" s="15">
        <f>G77*AP77</f>
        <v>0</v>
      </c>
      <c r="BJ77" s="15">
        <f>G77*H77</f>
        <v>0</v>
      </c>
    </row>
    <row r="78" spans="1:62" x14ac:dyDescent="0.2">
      <c r="C78" s="58" t="s">
        <v>336</v>
      </c>
      <c r="D78" s="59"/>
      <c r="E78" s="59"/>
      <c r="G78" s="16">
        <v>73.08</v>
      </c>
    </row>
    <row r="79" spans="1:62" x14ac:dyDescent="0.2">
      <c r="C79" s="58" t="s">
        <v>324</v>
      </c>
      <c r="D79" s="59"/>
      <c r="E79" s="59"/>
      <c r="G79" s="16">
        <v>0</v>
      </c>
    </row>
    <row r="80" spans="1:62" x14ac:dyDescent="0.2">
      <c r="C80" s="58" t="s">
        <v>337</v>
      </c>
      <c r="D80" s="59"/>
      <c r="E80" s="59"/>
      <c r="G80" s="16">
        <v>6.5010000000000003</v>
      </c>
    </row>
    <row r="81" spans="1:62" x14ac:dyDescent="0.2">
      <c r="C81" s="58" t="s">
        <v>338</v>
      </c>
      <c r="D81" s="59"/>
      <c r="E81" s="59"/>
      <c r="G81" s="16">
        <v>17.28</v>
      </c>
    </row>
    <row r="82" spans="1:62" x14ac:dyDescent="0.2">
      <c r="C82" s="58" t="s">
        <v>339</v>
      </c>
      <c r="D82" s="59"/>
      <c r="E82" s="59"/>
      <c r="G82" s="16">
        <v>2.7</v>
      </c>
    </row>
    <row r="83" spans="1:62" x14ac:dyDescent="0.2">
      <c r="C83" s="58" t="s">
        <v>340</v>
      </c>
      <c r="D83" s="59"/>
      <c r="E83" s="59"/>
      <c r="G83" s="16">
        <v>4.8600000000000003</v>
      </c>
    </row>
    <row r="84" spans="1:62" x14ac:dyDescent="0.2">
      <c r="C84" s="58" t="s">
        <v>341</v>
      </c>
      <c r="D84" s="59"/>
      <c r="E84" s="59"/>
      <c r="G84" s="16">
        <v>8.64</v>
      </c>
    </row>
    <row r="85" spans="1:62" x14ac:dyDescent="0.2">
      <c r="C85" s="58" t="s">
        <v>342</v>
      </c>
      <c r="D85" s="59"/>
      <c r="E85" s="59"/>
      <c r="G85" s="16">
        <v>5.58</v>
      </c>
    </row>
    <row r="86" spans="1:62" x14ac:dyDescent="0.2">
      <c r="A86" s="4" t="s">
        <v>27</v>
      </c>
      <c r="B86" s="4" t="s">
        <v>152</v>
      </c>
      <c r="C86" s="60" t="s">
        <v>343</v>
      </c>
      <c r="D86" s="61"/>
      <c r="E86" s="61"/>
      <c r="F86" s="4" t="s">
        <v>613</v>
      </c>
      <c r="G86" s="15">
        <v>49.875</v>
      </c>
      <c r="H86" s="15">
        <v>0</v>
      </c>
      <c r="I86" s="15">
        <f>G86*AO86</f>
        <v>0</v>
      </c>
      <c r="J86" s="15">
        <f>G86*AP86</f>
        <v>0</v>
      </c>
      <c r="K86" s="15">
        <f>G86*H86</f>
        <v>0</v>
      </c>
      <c r="L86" s="27" t="s">
        <v>636</v>
      </c>
      <c r="Z86" s="32">
        <f>IF(AQ86="5",BJ86,0)</f>
        <v>0</v>
      </c>
      <c r="AB86" s="32">
        <f>IF(AQ86="1",BH86,0)</f>
        <v>0</v>
      </c>
      <c r="AC86" s="32">
        <f>IF(AQ86="1",BI86,0)</f>
        <v>0</v>
      </c>
      <c r="AD86" s="32">
        <f>IF(AQ86="7",BH86,0)</f>
        <v>0</v>
      </c>
      <c r="AE86" s="32">
        <f>IF(AQ86="7",BI86,0)</f>
        <v>0</v>
      </c>
      <c r="AF86" s="32">
        <f>IF(AQ86="2",BH86,0)</f>
        <v>0</v>
      </c>
      <c r="AG86" s="32">
        <f>IF(AQ86="2",BI86,0)</f>
        <v>0</v>
      </c>
      <c r="AH86" s="32">
        <f>IF(AQ86="0",BJ86,0)</f>
        <v>0</v>
      </c>
      <c r="AI86" s="28"/>
      <c r="AJ86" s="15">
        <f>IF(AN86=0,K86,0)</f>
        <v>0</v>
      </c>
      <c r="AK86" s="15">
        <f>IF(AN86=15,K86,0)</f>
        <v>0</v>
      </c>
      <c r="AL86" s="15">
        <f>IF(AN86=21,K86,0)</f>
        <v>0</v>
      </c>
      <c r="AN86" s="32">
        <v>21</v>
      </c>
      <c r="AO86" s="32">
        <f>H86*0.543139597910209</f>
        <v>0</v>
      </c>
      <c r="AP86" s="32">
        <f>H86*(1-0.543139597910209)</f>
        <v>0</v>
      </c>
      <c r="AQ86" s="27" t="s">
        <v>7</v>
      </c>
      <c r="AV86" s="32">
        <f>AW86+AX86</f>
        <v>0</v>
      </c>
      <c r="AW86" s="32">
        <f>G86*AO86</f>
        <v>0</v>
      </c>
      <c r="AX86" s="32">
        <f>G86*AP86</f>
        <v>0</v>
      </c>
      <c r="AY86" s="33" t="s">
        <v>654</v>
      </c>
      <c r="AZ86" s="33" t="s">
        <v>675</v>
      </c>
      <c r="BA86" s="28" t="s">
        <v>681</v>
      </c>
      <c r="BC86" s="32">
        <f>AW86+AX86</f>
        <v>0</v>
      </c>
      <c r="BD86" s="32">
        <f>H86/(100-BE86)*100</f>
        <v>0</v>
      </c>
      <c r="BE86" s="32">
        <v>0</v>
      </c>
      <c r="BF86" s="32">
        <f>84</f>
        <v>84</v>
      </c>
      <c r="BH86" s="15">
        <f>G86*AO86</f>
        <v>0</v>
      </c>
      <c r="BI86" s="15">
        <f>G86*AP86</f>
        <v>0</v>
      </c>
      <c r="BJ86" s="15">
        <f>G86*H86</f>
        <v>0</v>
      </c>
    </row>
    <row r="87" spans="1:62" x14ac:dyDescent="0.2">
      <c r="C87" s="58" t="s">
        <v>344</v>
      </c>
      <c r="D87" s="59"/>
      <c r="E87" s="59"/>
      <c r="G87" s="16">
        <v>49.875</v>
      </c>
    </row>
    <row r="88" spans="1:62" x14ac:dyDescent="0.2">
      <c r="A88" s="4" t="s">
        <v>28</v>
      </c>
      <c r="B88" s="4" t="s">
        <v>153</v>
      </c>
      <c r="C88" s="60" t="s">
        <v>345</v>
      </c>
      <c r="D88" s="61"/>
      <c r="E88" s="61"/>
      <c r="F88" s="4" t="s">
        <v>616</v>
      </c>
      <c r="G88" s="15">
        <v>107.7</v>
      </c>
      <c r="H88" s="15">
        <v>0</v>
      </c>
      <c r="I88" s="15">
        <f>G88*AO88</f>
        <v>0</v>
      </c>
      <c r="J88" s="15">
        <f>G88*AP88</f>
        <v>0</v>
      </c>
      <c r="K88" s="15">
        <f>G88*H88</f>
        <v>0</v>
      </c>
      <c r="L88" s="27" t="s">
        <v>636</v>
      </c>
      <c r="Z88" s="32">
        <f>IF(AQ88="5",BJ88,0)</f>
        <v>0</v>
      </c>
      <c r="AB88" s="32">
        <f>IF(AQ88="1",BH88,0)</f>
        <v>0</v>
      </c>
      <c r="AC88" s="32">
        <f>IF(AQ88="1",BI88,0)</f>
        <v>0</v>
      </c>
      <c r="AD88" s="32">
        <f>IF(AQ88="7",BH88,0)</f>
        <v>0</v>
      </c>
      <c r="AE88" s="32">
        <f>IF(AQ88="7",BI88,0)</f>
        <v>0</v>
      </c>
      <c r="AF88" s="32">
        <f>IF(AQ88="2",BH88,0)</f>
        <v>0</v>
      </c>
      <c r="AG88" s="32">
        <f>IF(AQ88="2",BI88,0)</f>
        <v>0</v>
      </c>
      <c r="AH88" s="32">
        <f>IF(AQ88="0",BJ88,0)</f>
        <v>0</v>
      </c>
      <c r="AI88" s="28"/>
      <c r="AJ88" s="15">
        <f>IF(AN88=0,K88,0)</f>
        <v>0</v>
      </c>
      <c r="AK88" s="15">
        <f>IF(AN88=15,K88,0)</f>
        <v>0</v>
      </c>
      <c r="AL88" s="15">
        <f>IF(AN88=21,K88,0)</f>
        <v>0</v>
      </c>
      <c r="AN88" s="32">
        <v>21</v>
      </c>
      <c r="AO88" s="32">
        <f>H88*0</f>
        <v>0</v>
      </c>
      <c r="AP88" s="32">
        <f>H88*(1-0)</f>
        <v>0</v>
      </c>
      <c r="AQ88" s="27" t="s">
        <v>7</v>
      </c>
      <c r="AV88" s="32">
        <f>AW88+AX88</f>
        <v>0</v>
      </c>
      <c r="AW88" s="32">
        <f>G88*AO88</f>
        <v>0</v>
      </c>
      <c r="AX88" s="32">
        <f>G88*AP88</f>
        <v>0</v>
      </c>
      <c r="AY88" s="33" t="s">
        <v>654</v>
      </c>
      <c r="AZ88" s="33" t="s">
        <v>675</v>
      </c>
      <c r="BA88" s="28" t="s">
        <v>681</v>
      </c>
      <c r="BC88" s="32">
        <f>AW88+AX88</f>
        <v>0</v>
      </c>
      <c r="BD88" s="32">
        <f>H88/(100-BE88)*100</f>
        <v>0</v>
      </c>
      <c r="BE88" s="32">
        <v>0</v>
      </c>
      <c r="BF88" s="32">
        <f>86</f>
        <v>86</v>
      </c>
      <c r="BH88" s="15">
        <f>G88*AO88</f>
        <v>0</v>
      </c>
      <c r="BI88" s="15">
        <f>G88*AP88</f>
        <v>0</v>
      </c>
      <c r="BJ88" s="15">
        <f>G88*H88</f>
        <v>0</v>
      </c>
    </row>
    <row r="89" spans="1:62" x14ac:dyDescent="0.2">
      <c r="C89" s="58" t="s">
        <v>346</v>
      </c>
      <c r="D89" s="59"/>
      <c r="E89" s="59"/>
      <c r="G89" s="16">
        <v>56.4</v>
      </c>
    </row>
    <row r="90" spans="1:62" x14ac:dyDescent="0.2">
      <c r="C90" s="58" t="s">
        <v>347</v>
      </c>
      <c r="D90" s="59"/>
      <c r="E90" s="59"/>
      <c r="G90" s="16">
        <v>51.3</v>
      </c>
    </row>
    <row r="91" spans="1:62" x14ac:dyDescent="0.2">
      <c r="A91" s="6" t="s">
        <v>29</v>
      </c>
      <c r="B91" s="6" t="s">
        <v>154</v>
      </c>
      <c r="C91" s="68" t="s">
        <v>348</v>
      </c>
      <c r="D91" s="69"/>
      <c r="E91" s="69"/>
      <c r="F91" s="6" t="s">
        <v>616</v>
      </c>
      <c r="G91" s="17">
        <v>56.4</v>
      </c>
      <c r="H91" s="17">
        <v>0</v>
      </c>
      <c r="I91" s="17">
        <f>G91*AO91</f>
        <v>0</v>
      </c>
      <c r="J91" s="17">
        <f>G91*AP91</f>
        <v>0</v>
      </c>
      <c r="K91" s="17">
        <f>G91*H91</f>
        <v>0</v>
      </c>
      <c r="L91" s="29" t="s">
        <v>636</v>
      </c>
      <c r="Z91" s="32">
        <f>IF(AQ91="5",BJ91,0)</f>
        <v>0</v>
      </c>
      <c r="AB91" s="32">
        <f>IF(AQ91="1",BH91,0)</f>
        <v>0</v>
      </c>
      <c r="AC91" s="32">
        <f>IF(AQ91="1",BI91,0)</f>
        <v>0</v>
      </c>
      <c r="AD91" s="32">
        <f>IF(AQ91="7",BH91,0)</f>
        <v>0</v>
      </c>
      <c r="AE91" s="32">
        <f>IF(AQ91="7",BI91,0)</f>
        <v>0</v>
      </c>
      <c r="AF91" s="32">
        <f>IF(AQ91="2",BH91,0)</f>
        <v>0</v>
      </c>
      <c r="AG91" s="32">
        <f>IF(AQ91="2",BI91,0)</f>
        <v>0</v>
      </c>
      <c r="AH91" s="32">
        <f>IF(AQ91="0",BJ91,0)</f>
        <v>0</v>
      </c>
      <c r="AI91" s="28"/>
      <c r="AJ91" s="17">
        <f>IF(AN91=0,K91,0)</f>
        <v>0</v>
      </c>
      <c r="AK91" s="17">
        <f>IF(AN91=15,K91,0)</f>
        <v>0</v>
      </c>
      <c r="AL91" s="17">
        <f>IF(AN91=21,K91,0)</f>
        <v>0</v>
      </c>
      <c r="AN91" s="32">
        <v>21</v>
      </c>
      <c r="AO91" s="32">
        <f>H91*1</f>
        <v>0</v>
      </c>
      <c r="AP91" s="32">
        <f>H91*(1-1)</f>
        <v>0</v>
      </c>
      <c r="AQ91" s="29" t="s">
        <v>7</v>
      </c>
      <c r="AV91" s="32">
        <f>AW91+AX91</f>
        <v>0</v>
      </c>
      <c r="AW91" s="32">
        <f>G91*AO91</f>
        <v>0</v>
      </c>
      <c r="AX91" s="32">
        <f>G91*AP91</f>
        <v>0</v>
      </c>
      <c r="AY91" s="33" t="s">
        <v>654</v>
      </c>
      <c r="AZ91" s="33" t="s">
        <v>675</v>
      </c>
      <c r="BA91" s="28" t="s">
        <v>681</v>
      </c>
      <c r="BC91" s="32">
        <f>AW91+AX91</f>
        <v>0</v>
      </c>
      <c r="BD91" s="32">
        <f>H91/(100-BE91)*100</f>
        <v>0</v>
      </c>
      <c r="BE91" s="32">
        <v>0</v>
      </c>
      <c r="BF91" s="32">
        <f>89</f>
        <v>89</v>
      </c>
      <c r="BH91" s="17">
        <f>G91*AO91</f>
        <v>0</v>
      </c>
      <c r="BI91" s="17">
        <f>G91*AP91</f>
        <v>0</v>
      </c>
      <c r="BJ91" s="17">
        <f>G91*H91</f>
        <v>0</v>
      </c>
    </row>
    <row r="92" spans="1:62" x14ac:dyDescent="0.2">
      <c r="C92" s="58" t="s">
        <v>349</v>
      </c>
      <c r="D92" s="59"/>
      <c r="E92" s="59"/>
      <c r="G92" s="16">
        <v>16.8</v>
      </c>
    </row>
    <row r="93" spans="1:62" x14ac:dyDescent="0.2">
      <c r="C93" s="58" t="s">
        <v>350</v>
      </c>
      <c r="D93" s="59"/>
      <c r="E93" s="59"/>
      <c r="G93" s="16">
        <v>2.4</v>
      </c>
    </row>
    <row r="94" spans="1:62" x14ac:dyDescent="0.2">
      <c r="C94" s="58" t="s">
        <v>351</v>
      </c>
      <c r="D94" s="59"/>
      <c r="E94" s="59"/>
      <c r="G94" s="16">
        <v>1.5</v>
      </c>
    </row>
    <row r="95" spans="1:62" x14ac:dyDescent="0.2">
      <c r="C95" s="58" t="s">
        <v>352</v>
      </c>
      <c r="D95" s="59"/>
      <c r="E95" s="59"/>
      <c r="G95" s="16">
        <v>3.6</v>
      </c>
    </row>
    <row r="96" spans="1:62" x14ac:dyDescent="0.2">
      <c r="C96" s="58" t="s">
        <v>353</v>
      </c>
      <c r="D96" s="59"/>
      <c r="E96" s="59"/>
      <c r="G96" s="16">
        <v>1.8</v>
      </c>
    </row>
    <row r="97" spans="1:62" x14ac:dyDescent="0.2">
      <c r="C97" s="58" t="s">
        <v>354</v>
      </c>
      <c r="D97" s="59"/>
      <c r="E97" s="59"/>
      <c r="G97" s="16">
        <v>6.6</v>
      </c>
    </row>
    <row r="98" spans="1:62" x14ac:dyDescent="0.2">
      <c r="C98" s="58" t="s">
        <v>324</v>
      </c>
      <c r="D98" s="59"/>
      <c r="E98" s="59"/>
      <c r="G98" s="16">
        <v>0</v>
      </c>
    </row>
    <row r="99" spans="1:62" x14ac:dyDescent="0.2">
      <c r="C99" s="58" t="s">
        <v>355</v>
      </c>
      <c r="D99" s="59"/>
      <c r="E99" s="59"/>
      <c r="G99" s="16">
        <v>3.3</v>
      </c>
    </row>
    <row r="100" spans="1:62" x14ac:dyDescent="0.2">
      <c r="C100" s="58" t="s">
        <v>356</v>
      </c>
      <c r="D100" s="59"/>
      <c r="E100" s="59"/>
      <c r="G100" s="16">
        <v>9.6</v>
      </c>
    </row>
    <row r="101" spans="1:62" x14ac:dyDescent="0.2">
      <c r="C101" s="58" t="s">
        <v>357</v>
      </c>
      <c r="D101" s="59"/>
      <c r="E101" s="59"/>
      <c r="G101" s="16">
        <v>1.5</v>
      </c>
    </row>
    <row r="102" spans="1:62" x14ac:dyDescent="0.2">
      <c r="C102" s="58" t="s">
        <v>358</v>
      </c>
      <c r="D102" s="59"/>
      <c r="E102" s="59"/>
      <c r="G102" s="16">
        <v>2.7</v>
      </c>
    </row>
    <row r="103" spans="1:62" x14ac:dyDescent="0.2">
      <c r="C103" s="58" t="s">
        <v>359</v>
      </c>
      <c r="D103" s="59"/>
      <c r="E103" s="59"/>
      <c r="G103" s="16">
        <v>4.8</v>
      </c>
    </row>
    <row r="104" spans="1:62" x14ac:dyDescent="0.2">
      <c r="C104" s="58" t="s">
        <v>360</v>
      </c>
      <c r="D104" s="59"/>
      <c r="E104" s="59"/>
      <c r="G104" s="16">
        <v>1.8</v>
      </c>
    </row>
    <row r="105" spans="1:62" x14ac:dyDescent="0.2">
      <c r="A105" s="6" t="s">
        <v>30</v>
      </c>
      <c r="B105" s="6" t="s">
        <v>155</v>
      </c>
      <c r="C105" s="68" t="s">
        <v>361</v>
      </c>
      <c r="D105" s="69"/>
      <c r="E105" s="69"/>
      <c r="F105" s="6" t="s">
        <v>616</v>
      </c>
      <c r="G105" s="17">
        <v>51.3</v>
      </c>
      <c r="H105" s="17">
        <v>0</v>
      </c>
      <c r="I105" s="17">
        <f>G105*AO105</f>
        <v>0</v>
      </c>
      <c r="J105" s="17">
        <f>G105*AP105</f>
        <v>0</v>
      </c>
      <c r="K105" s="17">
        <f>G105*H105</f>
        <v>0</v>
      </c>
      <c r="L105" s="29" t="s">
        <v>636</v>
      </c>
      <c r="Z105" s="32">
        <f>IF(AQ105="5",BJ105,0)</f>
        <v>0</v>
      </c>
      <c r="AB105" s="32">
        <f>IF(AQ105="1",BH105,0)</f>
        <v>0</v>
      </c>
      <c r="AC105" s="32">
        <f>IF(AQ105="1",BI105,0)</f>
        <v>0</v>
      </c>
      <c r="AD105" s="32">
        <f>IF(AQ105="7",BH105,0)</f>
        <v>0</v>
      </c>
      <c r="AE105" s="32">
        <f>IF(AQ105="7",BI105,0)</f>
        <v>0</v>
      </c>
      <c r="AF105" s="32">
        <f>IF(AQ105="2",BH105,0)</f>
        <v>0</v>
      </c>
      <c r="AG105" s="32">
        <f>IF(AQ105="2",BI105,0)</f>
        <v>0</v>
      </c>
      <c r="AH105" s="32">
        <f>IF(AQ105="0",BJ105,0)</f>
        <v>0</v>
      </c>
      <c r="AI105" s="28"/>
      <c r="AJ105" s="17">
        <f>IF(AN105=0,K105,0)</f>
        <v>0</v>
      </c>
      <c r="AK105" s="17">
        <f>IF(AN105=15,K105,0)</f>
        <v>0</v>
      </c>
      <c r="AL105" s="17">
        <f>IF(AN105=21,K105,0)</f>
        <v>0</v>
      </c>
      <c r="AN105" s="32">
        <v>21</v>
      </c>
      <c r="AO105" s="32">
        <f>H105*1</f>
        <v>0</v>
      </c>
      <c r="AP105" s="32">
        <f>H105*(1-1)</f>
        <v>0</v>
      </c>
      <c r="AQ105" s="29" t="s">
        <v>7</v>
      </c>
      <c r="AV105" s="32">
        <f>AW105+AX105</f>
        <v>0</v>
      </c>
      <c r="AW105" s="32">
        <f>G105*AO105</f>
        <v>0</v>
      </c>
      <c r="AX105" s="32">
        <f>G105*AP105</f>
        <v>0</v>
      </c>
      <c r="AY105" s="33" t="s">
        <v>654</v>
      </c>
      <c r="AZ105" s="33" t="s">
        <v>675</v>
      </c>
      <c r="BA105" s="28" t="s">
        <v>681</v>
      </c>
      <c r="BC105" s="32">
        <f>AW105+AX105</f>
        <v>0</v>
      </c>
      <c r="BD105" s="32">
        <f>H105/(100-BE105)*100</f>
        <v>0</v>
      </c>
      <c r="BE105" s="32">
        <v>0</v>
      </c>
      <c r="BF105" s="32">
        <f>103</f>
        <v>103</v>
      </c>
      <c r="BH105" s="17">
        <f>G105*AO105</f>
        <v>0</v>
      </c>
      <c r="BI105" s="17">
        <f>G105*AP105</f>
        <v>0</v>
      </c>
      <c r="BJ105" s="17">
        <f>G105*H105</f>
        <v>0</v>
      </c>
    </row>
    <row r="106" spans="1:62" x14ac:dyDescent="0.2">
      <c r="C106" s="58" t="s">
        <v>362</v>
      </c>
      <c r="D106" s="59"/>
      <c r="E106" s="59"/>
      <c r="G106" s="16">
        <v>51.3</v>
      </c>
    </row>
    <row r="107" spans="1:62" x14ac:dyDescent="0.2">
      <c r="A107" s="4" t="s">
        <v>31</v>
      </c>
      <c r="B107" s="4" t="s">
        <v>156</v>
      </c>
      <c r="C107" s="60" t="s">
        <v>363</v>
      </c>
      <c r="D107" s="61"/>
      <c r="E107" s="61"/>
      <c r="F107" s="4" t="s">
        <v>616</v>
      </c>
      <c r="G107" s="15">
        <v>122.08</v>
      </c>
      <c r="H107" s="15">
        <v>0</v>
      </c>
      <c r="I107" s="15">
        <f>G107*AO107</f>
        <v>0</v>
      </c>
      <c r="J107" s="15">
        <f>G107*AP107</f>
        <v>0</v>
      </c>
      <c r="K107" s="15">
        <f>G107*H107</f>
        <v>0</v>
      </c>
      <c r="L107" s="27" t="s">
        <v>636</v>
      </c>
      <c r="Z107" s="32">
        <f>IF(AQ107="5",BJ107,0)</f>
        <v>0</v>
      </c>
      <c r="AB107" s="32">
        <f>IF(AQ107="1",BH107,0)</f>
        <v>0</v>
      </c>
      <c r="AC107" s="32">
        <f>IF(AQ107="1",BI107,0)</f>
        <v>0</v>
      </c>
      <c r="AD107" s="32">
        <f>IF(AQ107="7",BH107,0)</f>
        <v>0</v>
      </c>
      <c r="AE107" s="32">
        <f>IF(AQ107="7",BI107,0)</f>
        <v>0</v>
      </c>
      <c r="AF107" s="32">
        <f>IF(AQ107="2",BH107,0)</f>
        <v>0</v>
      </c>
      <c r="AG107" s="32">
        <f>IF(AQ107="2",BI107,0)</f>
        <v>0</v>
      </c>
      <c r="AH107" s="32">
        <f>IF(AQ107="0",BJ107,0)</f>
        <v>0</v>
      </c>
      <c r="AI107" s="28"/>
      <c r="AJ107" s="15">
        <f>IF(AN107=0,K107,0)</f>
        <v>0</v>
      </c>
      <c r="AK107" s="15">
        <f>IF(AN107=15,K107,0)</f>
        <v>0</v>
      </c>
      <c r="AL107" s="15">
        <f>IF(AN107=21,K107,0)</f>
        <v>0</v>
      </c>
      <c r="AN107" s="32">
        <v>21</v>
      </c>
      <c r="AO107" s="32">
        <f>H107*0</f>
        <v>0</v>
      </c>
      <c r="AP107" s="32">
        <f>H107*(1-0)</f>
        <v>0</v>
      </c>
      <c r="AQ107" s="27" t="s">
        <v>7</v>
      </c>
      <c r="AV107" s="32">
        <f>AW107+AX107</f>
        <v>0</v>
      </c>
      <c r="AW107" s="32">
        <f>G107*AO107</f>
        <v>0</v>
      </c>
      <c r="AX107" s="32">
        <f>G107*AP107</f>
        <v>0</v>
      </c>
      <c r="AY107" s="33" t="s">
        <v>654</v>
      </c>
      <c r="AZ107" s="33" t="s">
        <v>675</v>
      </c>
      <c r="BA107" s="28" t="s">
        <v>681</v>
      </c>
      <c r="BC107" s="32">
        <f>AW107+AX107</f>
        <v>0</v>
      </c>
      <c r="BD107" s="32">
        <f>H107/(100-BE107)*100</f>
        <v>0</v>
      </c>
      <c r="BE107" s="32">
        <v>0</v>
      </c>
      <c r="BF107" s="32">
        <f>105</f>
        <v>105</v>
      </c>
      <c r="BH107" s="15">
        <f>G107*AO107</f>
        <v>0</v>
      </c>
      <c r="BI107" s="15">
        <f>G107*AP107</f>
        <v>0</v>
      </c>
      <c r="BJ107" s="15">
        <f>G107*H107</f>
        <v>0</v>
      </c>
    </row>
    <row r="108" spans="1:62" x14ac:dyDescent="0.2">
      <c r="C108" s="58" t="s">
        <v>364</v>
      </c>
      <c r="D108" s="59"/>
      <c r="E108" s="59"/>
      <c r="G108" s="16">
        <v>122.08</v>
      </c>
    </row>
    <row r="109" spans="1:62" x14ac:dyDescent="0.2">
      <c r="A109" s="6" t="s">
        <v>32</v>
      </c>
      <c r="B109" s="6" t="s">
        <v>157</v>
      </c>
      <c r="C109" s="68" t="s">
        <v>365</v>
      </c>
      <c r="D109" s="69"/>
      <c r="E109" s="69"/>
      <c r="F109" s="6" t="s">
        <v>616</v>
      </c>
      <c r="G109" s="17">
        <v>122.08</v>
      </c>
      <c r="H109" s="17">
        <v>0</v>
      </c>
      <c r="I109" s="17">
        <f>G109*AO109</f>
        <v>0</v>
      </c>
      <c r="J109" s="17">
        <f>G109*AP109</f>
        <v>0</v>
      </c>
      <c r="K109" s="17">
        <f>G109*H109</f>
        <v>0</v>
      </c>
      <c r="L109" s="29" t="s">
        <v>636</v>
      </c>
      <c r="Z109" s="32">
        <f>IF(AQ109="5",BJ109,0)</f>
        <v>0</v>
      </c>
      <c r="AB109" s="32">
        <f>IF(AQ109="1",BH109,0)</f>
        <v>0</v>
      </c>
      <c r="AC109" s="32">
        <f>IF(AQ109="1",BI109,0)</f>
        <v>0</v>
      </c>
      <c r="AD109" s="32">
        <f>IF(AQ109="7",BH109,0)</f>
        <v>0</v>
      </c>
      <c r="AE109" s="32">
        <f>IF(AQ109="7",BI109,0)</f>
        <v>0</v>
      </c>
      <c r="AF109" s="32">
        <f>IF(AQ109="2",BH109,0)</f>
        <v>0</v>
      </c>
      <c r="AG109" s="32">
        <f>IF(AQ109="2",BI109,0)</f>
        <v>0</v>
      </c>
      <c r="AH109" s="32">
        <f>IF(AQ109="0",BJ109,0)</f>
        <v>0</v>
      </c>
      <c r="AI109" s="28"/>
      <c r="AJ109" s="17">
        <f>IF(AN109=0,K109,0)</f>
        <v>0</v>
      </c>
      <c r="AK109" s="17">
        <f>IF(AN109=15,K109,0)</f>
        <v>0</v>
      </c>
      <c r="AL109" s="17">
        <f>IF(AN109=21,K109,0)</f>
        <v>0</v>
      </c>
      <c r="AN109" s="32">
        <v>21</v>
      </c>
      <c r="AO109" s="32">
        <f>H109*1</f>
        <v>0</v>
      </c>
      <c r="AP109" s="32">
        <f>H109*(1-1)</f>
        <v>0</v>
      </c>
      <c r="AQ109" s="29" t="s">
        <v>7</v>
      </c>
      <c r="AV109" s="32">
        <f>AW109+AX109</f>
        <v>0</v>
      </c>
      <c r="AW109" s="32">
        <f>G109*AO109</f>
        <v>0</v>
      </c>
      <c r="AX109" s="32">
        <f>G109*AP109</f>
        <v>0</v>
      </c>
      <c r="AY109" s="33" t="s">
        <v>654</v>
      </c>
      <c r="AZ109" s="33" t="s">
        <v>675</v>
      </c>
      <c r="BA109" s="28" t="s">
        <v>681</v>
      </c>
      <c r="BC109" s="32">
        <f>AW109+AX109</f>
        <v>0</v>
      </c>
      <c r="BD109" s="32">
        <f>H109/(100-BE109)*100</f>
        <v>0</v>
      </c>
      <c r="BE109" s="32">
        <v>0</v>
      </c>
      <c r="BF109" s="32">
        <f>107</f>
        <v>107</v>
      </c>
      <c r="BH109" s="17">
        <f>G109*AO109</f>
        <v>0</v>
      </c>
      <c r="BI109" s="17">
        <f>G109*AP109</f>
        <v>0</v>
      </c>
      <c r="BJ109" s="17">
        <f>G109*H109</f>
        <v>0</v>
      </c>
    </row>
    <row r="110" spans="1:62" x14ac:dyDescent="0.2">
      <c r="C110" s="58" t="s">
        <v>366</v>
      </c>
      <c r="D110" s="59"/>
      <c r="E110" s="59"/>
      <c r="G110" s="16">
        <v>33.6</v>
      </c>
    </row>
    <row r="111" spans="1:62" x14ac:dyDescent="0.2">
      <c r="C111" s="58" t="s">
        <v>367</v>
      </c>
      <c r="D111" s="59"/>
      <c r="E111" s="59"/>
      <c r="G111" s="16">
        <v>4.8</v>
      </c>
    </row>
    <row r="112" spans="1:62" x14ac:dyDescent="0.2">
      <c r="C112" s="58" t="s">
        <v>368</v>
      </c>
      <c r="D112" s="59"/>
      <c r="E112" s="59"/>
      <c r="G112" s="16">
        <v>4.8</v>
      </c>
    </row>
    <row r="113" spans="1:62" x14ac:dyDescent="0.2">
      <c r="C113" s="58" t="s">
        <v>369</v>
      </c>
      <c r="D113" s="59"/>
      <c r="E113" s="59"/>
      <c r="G113" s="16">
        <v>9.6</v>
      </c>
    </row>
    <row r="114" spans="1:62" x14ac:dyDescent="0.2">
      <c r="C114" s="58" t="s">
        <v>370</v>
      </c>
      <c r="D114" s="59"/>
      <c r="E114" s="59"/>
      <c r="G114" s="16">
        <v>7.2</v>
      </c>
    </row>
    <row r="115" spans="1:62" x14ac:dyDescent="0.2">
      <c r="C115" s="58" t="s">
        <v>371</v>
      </c>
      <c r="D115" s="59"/>
      <c r="E115" s="59"/>
      <c r="G115" s="16">
        <v>4.8</v>
      </c>
    </row>
    <row r="116" spans="1:62" x14ac:dyDescent="0.2">
      <c r="C116" s="58" t="s">
        <v>324</v>
      </c>
      <c r="D116" s="59"/>
      <c r="E116" s="59"/>
      <c r="G116" s="16">
        <v>0</v>
      </c>
    </row>
    <row r="117" spans="1:62" x14ac:dyDescent="0.2">
      <c r="C117" s="58" t="s">
        <v>372</v>
      </c>
      <c r="D117" s="59"/>
      <c r="E117" s="59"/>
      <c r="G117" s="16">
        <v>7.88</v>
      </c>
    </row>
    <row r="118" spans="1:62" x14ac:dyDescent="0.2">
      <c r="C118" s="58" t="s">
        <v>373</v>
      </c>
      <c r="D118" s="59"/>
      <c r="E118" s="59"/>
      <c r="G118" s="16">
        <v>14.4</v>
      </c>
    </row>
    <row r="119" spans="1:62" x14ac:dyDescent="0.2">
      <c r="C119" s="58" t="s">
        <v>374</v>
      </c>
      <c r="D119" s="59"/>
      <c r="E119" s="59"/>
      <c r="G119" s="16">
        <v>3.6</v>
      </c>
    </row>
    <row r="120" spans="1:62" x14ac:dyDescent="0.2">
      <c r="C120" s="58" t="s">
        <v>375</v>
      </c>
      <c r="D120" s="59"/>
      <c r="E120" s="59"/>
      <c r="G120" s="16">
        <v>10.8</v>
      </c>
    </row>
    <row r="121" spans="1:62" x14ac:dyDescent="0.2">
      <c r="C121" s="58" t="s">
        <v>373</v>
      </c>
      <c r="D121" s="59"/>
      <c r="E121" s="59"/>
      <c r="G121" s="16">
        <v>14.4</v>
      </c>
    </row>
    <row r="122" spans="1:62" x14ac:dyDescent="0.2">
      <c r="C122" s="58" t="s">
        <v>376</v>
      </c>
      <c r="D122" s="59"/>
      <c r="E122" s="59"/>
      <c r="G122" s="16">
        <v>6.2</v>
      </c>
    </row>
    <row r="123" spans="1:62" x14ac:dyDescent="0.2">
      <c r="A123" s="4" t="s">
        <v>33</v>
      </c>
      <c r="B123" s="4" t="s">
        <v>158</v>
      </c>
      <c r="C123" s="60" t="s">
        <v>377</v>
      </c>
      <c r="D123" s="61"/>
      <c r="E123" s="61"/>
      <c r="F123" s="4" t="s">
        <v>616</v>
      </c>
      <c r="G123" s="15">
        <v>178.48</v>
      </c>
      <c r="H123" s="15">
        <v>0</v>
      </c>
      <c r="I123" s="15">
        <f>G123*AO123</f>
        <v>0</v>
      </c>
      <c r="J123" s="15">
        <f>G123*AP123</f>
        <v>0</v>
      </c>
      <c r="K123" s="15">
        <f>G123*H123</f>
        <v>0</v>
      </c>
      <c r="L123" s="27" t="s">
        <v>636</v>
      </c>
      <c r="Z123" s="32">
        <f>IF(AQ123="5",BJ123,0)</f>
        <v>0</v>
      </c>
      <c r="AB123" s="32">
        <f>IF(AQ123="1",BH123,0)</f>
        <v>0</v>
      </c>
      <c r="AC123" s="32">
        <f>IF(AQ123="1",BI123,0)</f>
        <v>0</v>
      </c>
      <c r="AD123" s="32">
        <f>IF(AQ123="7",BH123,0)</f>
        <v>0</v>
      </c>
      <c r="AE123" s="32">
        <f>IF(AQ123="7",BI123,0)</f>
        <v>0</v>
      </c>
      <c r="AF123" s="32">
        <f>IF(AQ123="2",BH123,0)</f>
        <v>0</v>
      </c>
      <c r="AG123" s="32">
        <f>IF(AQ123="2",BI123,0)</f>
        <v>0</v>
      </c>
      <c r="AH123" s="32">
        <f>IF(AQ123="0",BJ123,0)</f>
        <v>0</v>
      </c>
      <c r="AI123" s="28"/>
      <c r="AJ123" s="15">
        <f>IF(AN123=0,K123,0)</f>
        <v>0</v>
      </c>
      <c r="AK123" s="15">
        <f>IF(AN123=15,K123,0)</f>
        <v>0</v>
      </c>
      <c r="AL123" s="15">
        <f>IF(AN123=21,K123,0)</f>
        <v>0</v>
      </c>
      <c r="AN123" s="32">
        <v>21</v>
      </c>
      <c r="AO123" s="32">
        <f>H123*0.423800292725628</f>
        <v>0</v>
      </c>
      <c r="AP123" s="32">
        <f>H123*(1-0.423800292725628)</f>
        <v>0</v>
      </c>
      <c r="AQ123" s="27" t="s">
        <v>7</v>
      </c>
      <c r="AV123" s="32">
        <f>AW123+AX123</f>
        <v>0</v>
      </c>
      <c r="AW123" s="32">
        <f>G123*AO123</f>
        <v>0</v>
      </c>
      <c r="AX123" s="32">
        <f>G123*AP123</f>
        <v>0</v>
      </c>
      <c r="AY123" s="33" t="s">
        <v>654</v>
      </c>
      <c r="AZ123" s="33" t="s">
        <v>675</v>
      </c>
      <c r="BA123" s="28" t="s">
        <v>681</v>
      </c>
      <c r="BC123" s="32">
        <f>AW123+AX123</f>
        <v>0</v>
      </c>
      <c r="BD123" s="32">
        <f>H123/(100-BE123)*100</f>
        <v>0</v>
      </c>
      <c r="BE123" s="32">
        <v>0</v>
      </c>
      <c r="BF123" s="32">
        <f>121</f>
        <v>121</v>
      </c>
      <c r="BH123" s="15">
        <f>G123*AO123</f>
        <v>0</v>
      </c>
      <c r="BI123" s="15">
        <f>G123*AP123</f>
        <v>0</v>
      </c>
      <c r="BJ123" s="15">
        <f>G123*H123</f>
        <v>0</v>
      </c>
    </row>
    <row r="124" spans="1:62" x14ac:dyDescent="0.2">
      <c r="C124" s="58" t="s">
        <v>378</v>
      </c>
      <c r="D124" s="59"/>
      <c r="E124" s="59"/>
      <c r="G124" s="16">
        <v>56.4</v>
      </c>
    </row>
    <row r="125" spans="1:62" x14ac:dyDescent="0.2">
      <c r="C125" s="58" t="s">
        <v>379</v>
      </c>
      <c r="D125" s="59"/>
      <c r="E125" s="59"/>
      <c r="G125" s="16">
        <v>122.08</v>
      </c>
    </row>
    <row r="126" spans="1:62" x14ac:dyDescent="0.2">
      <c r="A126" s="4" t="s">
        <v>34</v>
      </c>
      <c r="B126" s="4" t="s">
        <v>159</v>
      </c>
      <c r="C126" s="60" t="s">
        <v>380</v>
      </c>
      <c r="D126" s="61"/>
      <c r="E126" s="61"/>
      <c r="F126" s="4" t="s">
        <v>613</v>
      </c>
      <c r="G126" s="15">
        <v>421.52300000000002</v>
      </c>
      <c r="H126" s="15">
        <v>0</v>
      </c>
      <c r="I126" s="15">
        <f>G126*AO126</f>
        <v>0</v>
      </c>
      <c r="J126" s="15">
        <f>G126*AP126</f>
        <v>0</v>
      </c>
      <c r="K126" s="15">
        <f>G126*H126</f>
        <v>0</v>
      </c>
      <c r="L126" s="27" t="s">
        <v>636</v>
      </c>
      <c r="Z126" s="32">
        <f>IF(AQ126="5",BJ126,0)</f>
        <v>0</v>
      </c>
      <c r="AB126" s="32">
        <f>IF(AQ126="1",BH126,0)</f>
        <v>0</v>
      </c>
      <c r="AC126" s="32">
        <f>IF(AQ126="1",BI126,0)</f>
        <v>0</v>
      </c>
      <c r="AD126" s="32">
        <f>IF(AQ126="7",BH126,0)</f>
        <v>0</v>
      </c>
      <c r="AE126" s="32">
        <f>IF(AQ126="7",BI126,0)</f>
        <v>0</v>
      </c>
      <c r="AF126" s="32">
        <f>IF(AQ126="2",BH126,0)</f>
        <v>0</v>
      </c>
      <c r="AG126" s="32">
        <f>IF(AQ126="2",BI126,0)</f>
        <v>0</v>
      </c>
      <c r="AH126" s="32">
        <f>IF(AQ126="0",BJ126,0)</f>
        <v>0</v>
      </c>
      <c r="AI126" s="28"/>
      <c r="AJ126" s="15">
        <f>IF(AN126=0,K126,0)</f>
        <v>0</v>
      </c>
      <c r="AK126" s="15">
        <f>IF(AN126=15,K126,0)</f>
        <v>0</v>
      </c>
      <c r="AL126" s="15">
        <f>IF(AN126=21,K126,0)</f>
        <v>0</v>
      </c>
      <c r="AN126" s="32">
        <v>21</v>
      </c>
      <c r="AO126" s="32">
        <f>H126*0.0678321554535832</f>
        <v>0</v>
      </c>
      <c r="AP126" s="32">
        <f>H126*(1-0.0678321554535832)</f>
        <v>0</v>
      </c>
      <c r="AQ126" s="27" t="s">
        <v>7</v>
      </c>
      <c r="AV126" s="32">
        <f>AW126+AX126</f>
        <v>0</v>
      </c>
      <c r="AW126" s="32">
        <f>G126*AO126</f>
        <v>0</v>
      </c>
      <c r="AX126" s="32">
        <f>G126*AP126</f>
        <v>0</v>
      </c>
      <c r="AY126" s="33" t="s">
        <v>654</v>
      </c>
      <c r="AZ126" s="33" t="s">
        <v>675</v>
      </c>
      <c r="BA126" s="28" t="s">
        <v>681</v>
      </c>
      <c r="BC126" s="32">
        <f>AW126+AX126</f>
        <v>0</v>
      </c>
      <c r="BD126" s="32">
        <f>H126/(100-BE126)*100</f>
        <v>0</v>
      </c>
      <c r="BE126" s="32">
        <v>0</v>
      </c>
      <c r="BF126" s="32">
        <f>124</f>
        <v>124</v>
      </c>
      <c r="BH126" s="15">
        <f>G126*AO126</f>
        <v>0</v>
      </c>
      <c r="BI126" s="15">
        <f>G126*AP126</f>
        <v>0</v>
      </c>
      <c r="BJ126" s="15">
        <f>G126*H126</f>
        <v>0</v>
      </c>
    </row>
    <row r="127" spans="1:62" x14ac:dyDescent="0.2">
      <c r="C127" s="58" t="s">
        <v>381</v>
      </c>
      <c r="D127" s="59"/>
      <c r="E127" s="59"/>
      <c r="G127" s="16">
        <v>47.5</v>
      </c>
    </row>
    <row r="128" spans="1:62" x14ac:dyDescent="0.2">
      <c r="C128" s="58" t="s">
        <v>382</v>
      </c>
      <c r="D128" s="59"/>
      <c r="E128" s="59"/>
      <c r="G128" s="16">
        <v>95</v>
      </c>
    </row>
    <row r="129" spans="1:62" x14ac:dyDescent="0.2">
      <c r="C129" s="58" t="s">
        <v>383</v>
      </c>
      <c r="D129" s="59"/>
      <c r="E129" s="59"/>
      <c r="G129" s="16">
        <v>53.543999999999997</v>
      </c>
    </row>
    <row r="130" spans="1:62" x14ac:dyDescent="0.2">
      <c r="C130" s="58" t="s">
        <v>384</v>
      </c>
      <c r="D130" s="59"/>
      <c r="E130" s="59"/>
      <c r="G130" s="16">
        <v>225.47900000000001</v>
      </c>
    </row>
    <row r="131" spans="1:62" x14ac:dyDescent="0.2">
      <c r="A131" s="4" t="s">
        <v>35</v>
      </c>
      <c r="B131" s="4" t="s">
        <v>160</v>
      </c>
      <c r="C131" s="60" t="s">
        <v>385</v>
      </c>
      <c r="D131" s="61"/>
      <c r="E131" s="61"/>
      <c r="F131" s="4" t="s">
        <v>616</v>
      </c>
      <c r="G131" s="15">
        <v>128.80000000000001</v>
      </c>
      <c r="H131" s="15">
        <v>0</v>
      </c>
      <c r="I131" s="15">
        <f>G131*AO131</f>
        <v>0</v>
      </c>
      <c r="J131" s="15">
        <f>G131*AP131</f>
        <v>0</v>
      </c>
      <c r="K131" s="15">
        <f>G131*H131</f>
        <v>0</v>
      </c>
      <c r="L131" s="27" t="s">
        <v>636</v>
      </c>
      <c r="Z131" s="32">
        <f>IF(AQ131="5",BJ131,0)</f>
        <v>0</v>
      </c>
      <c r="AB131" s="32">
        <f>IF(AQ131="1",BH131,0)</f>
        <v>0</v>
      </c>
      <c r="AC131" s="32">
        <f>IF(AQ131="1",BI131,0)</f>
        <v>0</v>
      </c>
      <c r="AD131" s="32">
        <f>IF(AQ131="7",BH131,0)</f>
        <v>0</v>
      </c>
      <c r="AE131" s="32">
        <f>IF(AQ131="7",BI131,0)</f>
        <v>0</v>
      </c>
      <c r="AF131" s="32">
        <f>IF(AQ131="2",BH131,0)</f>
        <v>0</v>
      </c>
      <c r="AG131" s="32">
        <f>IF(AQ131="2",BI131,0)</f>
        <v>0</v>
      </c>
      <c r="AH131" s="32">
        <f>IF(AQ131="0",BJ131,0)</f>
        <v>0</v>
      </c>
      <c r="AI131" s="28"/>
      <c r="AJ131" s="15">
        <f>IF(AN131=0,K131,0)</f>
        <v>0</v>
      </c>
      <c r="AK131" s="15">
        <f>IF(AN131=15,K131,0)</f>
        <v>0</v>
      </c>
      <c r="AL131" s="15">
        <f>IF(AN131=21,K131,0)</f>
        <v>0</v>
      </c>
      <c r="AN131" s="32">
        <v>21</v>
      </c>
      <c r="AO131" s="32">
        <f>H131*0.1</f>
        <v>0</v>
      </c>
      <c r="AP131" s="32">
        <f>H131*(1-0.1)</f>
        <v>0</v>
      </c>
      <c r="AQ131" s="27" t="s">
        <v>7</v>
      </c>
      <c r="AV131" s="32">
        <f>AW131+AX131</f>
        <v>0</v>
      </c>
      <c r="AW131" s="32">
        <f>G131*AO131</f>
        <v>0</v>
      </c>
      <c r="AX131" s="32">
        <f>G131*AP131</f>
        <v>0</v>
      </c>
      <c r="AY131" s="33" t="s">
        <v>654</v>
      </c>
      <c r="AZ131" s="33" t="s">
        <v>675</v>
      </c>
      <c r="BA131" s="28" t="s">
        <v>681</v>
      </c>
      <c r="BC131" s="32">
        <f>AW131+AX131</f>
        <v>0</v>
      </c>
      <c r="BD131" s="32">
        <f>H131/(100-BE131)*100</f>
        <v>0</v>
      </c>
      <c r="BE131" s="32">
        <v>0</v>
      </c>
      <c r="BF131" s="32">
        <f>129</f>
        <v>129</v>
      </c>
      <c r="BH131" s="15">
        <f>G131*AO131</f>
        <v>0</v>
      </c>
      <c r="BI131" s="15">
        <f>G131*AP131</f>
        <v>0</v>
      </c>
      <c r="BJ131" s="15">
        <f>G131*H131</f>
        <v>0</v>
      </c>
    </row>
    <row r="132" spans="1:62" x14ac:dyDescent="0.2">
      <c r="C132" s="58" t="s">
        <v>386</v>
      </c>
      <c r="D132" s="59"/>
      <c r="E132" s="59"/>
      <c r="G132" s="16">
        <v>128.80000000000001</v>
      </c>
    </row>
    <row r="133" spans="1:62" x14ac:dyDescent="0.2">
      <c r="A133" s="4" t="s">
        <v>36</v>
      </c>
      <c r="B133" s="4" t="s">
        <v>161</v>
      </c>
      <c r="C133" s="60" t="s">
        <v>387</v>
      </c>
      <c r="D133" s="61"/>
      <c r="E133" s="61"/>
      <c r="F133" s="4" t="s">
        <v>613</v>
      </c>
      <c r="G133" s="15">
        <v>421.52300000000002</v>
      </c>
      <c r="H133" s="15">
        <v>0</v>
      </c>
      <c r="I133" s="15">
        <f>G133*AO133</f>
        <v>0</v>
      </c>
      <c r="J133" s="15">
        <f>G133*AP133</f>
        <v>0</v>
      </c>
      <c r="K133" s="15">
        <f>G133*H133</f>
        <v>0</v>
      </c>
      <c r="L133" s="27" t="s">
        <v>636</v>
      </c>
      <c r="Z133" s="32">
        <f>IF(AQ133="5",BJ133,0)</f>
        <v>0</v>
      </c>
      <c r="AB133" s="32">
        <f>IF(AQ133="1",BH133,0)</f>
        <v>0</v>
      </c>
      <c r="AC133" s="32">
        <f>IF(AQ133="1",BI133,0)</f>
        <v>0</v>
      </c>
      <c r="AD133" s="32">
        <f>IF(AQ133="7",BH133,0)</f>
        <v>0</v>
      </c>
      <c r="AE133" s="32">
        <f>IF(AQ133="7",BI133,0)</f>
        <v>0</v>
      </c>
      <c r="AF133" s="32">
        <f>IF(AQ133="2",BH133,0)</f>
        <v>0</v>
      </c>
      <c r="AG133" s="32">
        <f>IF(AQ133="2",BI133,0)</f>
        <v>0</v>
      </c>
      <c r="AH133" s="32">
        <f>IF(AQ133="0",BJ133,0)</f>
        <v>0</v>
      </c>
      <c r="AI133" s="28"/>
      <c r="AJ133" s="15">
        <f>IF(AN133=0,K133,0)</f>
        <v>0</v>
      </c>
      <c r="AK133" s="15">
        <f>IF(AN133=15,K133,0)</f>
        <v>0</v>
      </c>
      <c r="AL133" s="15">
        <f>IF(AN133=21,K133,0)</f>
        <v>0</v>
      </c>
      <c r="AN133" s="32">
        <v>21</v>
      </c>
      <c r="AO133" s="32">
        <f>H133*0.508077017230612</f>
        <v>0</v>
      </c>
      <c r="AP133" s="32">
        <f>H133*(1-0.508077017230612)</f>
        <v>0</v>
      </c>
      <c r="AQ133" s="27" t="s">
        <v>7</v>
      </c>
      <c r="AV133" s="32">
        <f>AW133+AX133</f>
        <v>0</v>
      </c>
      <c r="AW133" s="32">
        <f>G133*AO133</f>
        <v>0</v>
      </c>
      <c r="AX133" s="32">
        <f>G133*AP133</f>
        <v>0</v>
      </c>
      <c r="AY133" s="33" t="s">
        <v>654</v>
      </c>
      <c r="AZ133" s="33" t="s">
        <v>675</v>
      </c>
      <c r="BA133" s="28" t="s">
        <v>681</v>
      </c>
      <c r="BC133" s="32">
        <f>AW133+AX133</f>
        <v>0</v>
      </c>
      <c r="BD133" s="32">
        <f>H133/(100-BE133)*100</f>
        <v>0</v>
      </c>
      <c r="BE133" s="32">
        <v>0</v>
      </c>
      <c r="BF133" s="32">
        <f>131</f>
        <v>131</v>
      </c>
      <c r="BH133" s="15">
        <f>G133*AO133</f>
        <v>0</v>
      </c>
      <c r="BI133" s="15">
        <f>G133*AP133</f>
        <v>0</v>
      </c>
      <c r="BJ133" s="15">
        <f>G133*H133</f>
        <v>0</v>
      </c>
    </row>
    <row r="134" spans="1:62" x14ac:dyDescent="0.2">
      <c r="C134" s="58" t="s">
        <v>388</v>
      </c>
      <c r="D134" s="59"/>
      <c r="E134" s="59"/>
      <c r="G134" s="16">
        <v>421.52300000000002</v>
      </c>
    </row>
    <row r="135" spans="1:62" x14ac:dyDescent="0.2">
      <c r="A135" s="4" t="s">
        <v>37</v>
      </c>
      <c r="B135" s="4" t="s">
        <v>162</v>
      </c>
      <c r="C135" s="60" t="s">
        <v>389</v>
      </c>
      <c r="D135" s="61"/>
      <c r="E135" s="61"/>
      <c r="F135" s="4" t="s">
        <v>616</v>
      </c>
      <c r="G135" s="15">
        <v>95</v>
      </c>
      <c r="H135" s="15">
        <v>0</v>
      </c>
      <c r="I135" s="15">
        <f>G135*AO135</f>
        <v>0</v>
      </c>
      <c r="J135" s="15">
        <f>G135*AP135</f>
        <v>0</v>
      </c>
      <c r="K135" s="15">
        <f>G135*H135</f>
        <v>0</v>
      </c>
      <c r="L135" s="27" t="s">
        <v>636</v>
      </c>
      <c r="Z135" s="32">
        <f>IF(AQ135="5",BJ135,0)</f>
        <v>0</v>
      </c>
      <c r="AB135" s="32">
        <f>IF(AQ135="1",BH135,0)</f>
        <v>0</v>
      </c>
      <c r="AC135" s="32">
        <f>IF(AQ135="1",BI135,0)</f>
        <v>0</v>
      </c>
      <c r="AD135" s="32">
        <f>IF(AQ135="7",BH135,0)</f>
        <v>0</v>
      </c>
      <c r="AE135" s="32">
        <f>IF(AQ135="7",BI135,0)</f>
        <v>0</v>
      </c>
      <c r="AF135" s="32">
        <f>IF(AQ135="2",BH135,0)</f>
        <v>0</v>
      </c>
      <c r="AG135" s="32">
        <f>IF(AQ135="2",BI135,0)</f>
        <v>0</v>
      </c>
      <c r="AH135" s="32">
        <f>IF(AQ135="0",BJ135,0)</f>
        <v>0</v>
      </c>
      <c r="AI135" s="28"/>
      <c r="AJ135" s="15">
        <f>IF(AN135=0,K135,0)</f>
        <v>0</v>
      </c>
      <c r="AK135" s="15">
        <f>IF(AN135=15,K135,0)</f>
        <v>0</v>
      </c>
      <c r="AL135" s="15">
        <f>IF(AN135=21,K135,0)</f>
        <v>0</v>
      </c>
      <c r="AN135" s="32">
        <v>21</v>
      </c>
      <c r="AO135" s="32">
        <f>H135*0.554363212932097</f>
        <v>0</v>
      </c>
      <c r="AP135" s="32">
        <f>H135*(1-0.554363212932097)</f>
        <v>0</v>
      </c>
      <c r="AQ135" s="27" t="s">
        <v>7</v>
      </c>
      <c r="AV135" s="32">
        <f>AW135+AX135</f>
        <v>0</v>
      </c>
      <c r="AW135" s="32">
        <f>G135*AO135</f>
        <v>0</v>
      </c>
      <c r="AX135" s="32">
        <f>G135*AP135</f>
        <v>0</v>
      </c>
      <c r="AY135" s="33" t="s">
        <v>654</v>
      </c>
      <c r="AZ135" s="33" t="s">
        <v>675</v>
      </c>
      <c r="BA135" s="28" t="s">
        <v>681</v>
      </c>
      <c r="BC135" s="32">
        <f>AW135+AX135</f>
        <v>0</v>
      </c>
      <c r="BD135" s="32">
        <f>H135/(100-BE135)*100</f>
        <v>0</v>
      </c>
      <c r="BE135" s="32">
        <v>0</v>
      </c>
      <c r="BF135" s="32">
        <f>133</f>
        <v>133</v>
      </c>
      <c r="BH135" s="15">
        <f>G135*AO135</f>
        <v>0</v>
      </c>
      <c r="BI135" s="15">
        <f>G135*AP135</f>
        <v>0</v>
      </c>
      <c r="BJ135" s="15">
        <f>G135*H135</f>
        <v>0</v>
      </c>
    </row>
    <row r="136" spans="1:62" x14ac:dyDescent="0.2">
      <c r="C136" s="58" t="s">
        <v>390</v>
      </c>
      <c r="D136" s="59"/>
      <c r="E136" s="59"/>
      <c r="G136" s="16">
        <v>95</v>
      </c>
    </row>
    <row r="137" spans="1:62" x14ac:dyDescent="0.2">
      <c r="A137" s="5"/>
      <c r="B137" s="13" t="s">
        <v>70</v>
      </c>
      <c r="C137" s="66" t="s">
        <v>391</v>
      </c>
      <c r="D137" s="67"/>
      <c r="E137" s="67"/>
      <c r="F137" s="5" t="s">
        <v>6</v>
      </c>
      <c r="G137" s="5" t="s">
        <v>6</v>
      </c>
      <c r="H137" s="5" t="s">
        <v>6</v>
      </c>
      <c r="I137" s="35">
        <f>SUM(I138:I138)</f>
        <v>0</v>
      </c>
      <c r="J137" s="35">
        <f>SUM(J138:J138)</f>
        <v>0</v>
      </c>
      <c r="K137" s="35">
        <f>SUM(K138:K138)</f>
        <v>0</v>
      </c>
      <c r="L137" s="28"/>
      <c r="AI137" s="28"/>
      <c r="AS137" s="35">
        <f>SUM(AJ138:AJ138)</f>
        <v>0</v>
      </c>
      <c r="AT137" s="35">
        <f>SUM(AK138:AK138)</f>
        <v>0</v>
      </c>
      <c r="AU137" s="35">
        <f>SUM(AL138:AL138)</f>
        <v>0</v>
      </c>
    </row>
    <row r="138" spans="1:62" x14ac:dyDescent="0.2">
      <c r="A138" s="4" t="s">
        <v>38</v>
      </c>
      <c r="B138" s="4" t="s">
        <v>163</v>
      </c>
      <c r="C138" s="60" t="s">
        <v>392</v>
      </c>
      <c r="D138" s="61"/>
      <c r="E138" s="61"/>
      <c r="F138" s="4" t="s">
        <v>616</v>
      </c>
      <c r="G138" s="15">
        <v>53.865000000000002</v>
      </c>
      <c r="H138" s="15">
        <v>0</v>
      </c>
      <c r="I138" s="15">
        <f>G138*AO138</f>
        <v>0</v>
      </c>
      <c r="J138" s="15">
        <f>G138*AP138</f>
        <v>0</v>
      </c>
      <c r="K138" s="15">
        <f>G138*H138</f>
        <v>0</v>
      </c>
      <c r="L138" s="27" t="s">
        <v>636</v>
      </c>
      <c r="Z138" s="32">
        <f>IF(AQ138="5",BJ138,0)</f>
        <v>0</v>
      </c>
      <c r="AB138" s="32">
        <f>IF(AQ138="1",BH138,0)</f>
        <v>0</v>
      </c>
      <c r="AC138" s="32">
        <f>IF(AQ138="1",BI138,0)</f>
        <v>0</v>
      </c>
      <c r="AD138" s="32">
        <f>IF(AQ138="7",BH138,0)</f>
        <v>0</v>
      </c>
      <c r="AE138" s="32">
        <f>IF(AQ138="7",BI138,0)</f>
        <v>0</v>
      </c>
      <c r="AF138" s="32">
        <f>IF(AQ138="2",BH138,0)</f>
        <v>0</v>
      </c>
      <c r="AG138" s="32">
        <f>IF(AQ138="2",BI138,0)</f>
        <v>0</v>
      </c>
      <c r="AH138" s="32">
        <f>IF(AQ138="0",BJ138,0)</f>
        <v>0</v>
      </c>
      <c r="AI138" s="28"/>
      <c r="AJ138" s="15">
        <f>IF(AN138=0,K138,0)</f>
        <v>0</v>
      </c>
      <c r="AK138" s="15">
        <f>IF(AN138=15,K138,0)</f>
        <v>0</v>
      </c>
      <c r="AL138" s="15">
        <f>IF(AN138=21,K138,0)</f>
        <v>0</v>
      </c>
      <c r="AN138" s="32">
        <v>21</v>
      </c>
      <c r="AO138" s="32">
        <f>H138*0.663094146903678</f>
        <v>0</v>
      </c>
      <c r="AP138" s="32">
        <f>H138*(1-0.663094146903678)</f>
        <v>0</v>
      </c>
      <c r="AQ138" s="27" t="s">
        <v>7</v>
      </c>
      <c r="AV138" s="32">
        <f>AW138+AX138</f>
        <v>0</v>
      </c>
      <c r="AW138" s="32">
        <f>G138*AO138</f>
        <v>0</v>
      </c>
      <c r="AX138" s="32">
        <f>G138*AP138</f>
        <v>0</v>
      </c>
      <c r="AY138" s="33" t="s">
        <v>655</v>
      </c>
      <c r="AZ138" s="33" t="s">
        <v>675</v>
      </c>
      <c r="BA138" s="28" t="s">
        <v>681</v>
      </c>
      <c r="BC138" s="32">
        <f>AW138+AX138</f>
        <v>0</v>
      </c>
      <c r="BD138" s="32">
        <f>H138/(100-BE138)*100</f>
        <v>0</v>
      </c>
      <c r="BE138" s="32">
        <v>0</v>
      </c>
      <c r="BF138" s="32">
        <f>136</f>
        <v>136</v>
      </c>
      <c r="BH138" s="15">
        <f>G138*AO138</f>
        <v>0</v>
      </c>
      <c r="BI138" s="15">
        <f>G138*AP138</f>
        <v>0</v>
      </c>
      <c r="BJ138" s="15">
        <f>G138*H138</f>
        <v>0</v>
      </c>
    </row>
    <row r="139" spans="1:62" x14ac:dyDescent="0.2">
      <c r="C139" s="58" t="s">
        <v>393</v>
      </c>
      <c r="D139" s="59"/>
      <c r="E139" s="59"/>
      <c r="G139" s="16">
        <v>51.3</v>
      </c>
    </row>
    <row r="140" spans="1:62" x14ac:dyDescent="0.2">
      <c r="C140" s="58" t="s">
        <v>394</v>
      </c>
      <c r="D140" s="59"/>
      <c r="E140" s="59"/>
      <c r="G140" s="16">
        <v>2.5649999999999999</v>
      </c>
    </row>
    <row r="141" spans="1:62" x14ac:dyDescent="0.2">
      <c r="A141" s="5"/>
      <c r="B141" s="13" t="s">
        <v>164</v>
      </c>
      <c r="C141" s="66" t="s">
        <v>395</v>
      </c>
      <c r="D141" s="67"/>
      <c r="E141" s="67"/>
      <c r="F141" s="5" t="s">
        <v>6</v>
      </c>
      <c r="G141" s="5" t="s">
        <v>6</v>
      </c>
      <c r="H141" s="5" t="s">
        <v>6</v>
      </c>
      <c r="I141" s="35">
        <f>SUM(I142:I173)</f>
        <v>0</v>
      </c>
      <c r="J141" s="35">
        <f>SUM(J142:J173)</f>
        <v>0</v>
      </c>
      <c r="K141" s="35">
        <f>SUM(K142:K173)</f>
        <v>0</v>
      </c>
      <c r="L141" s="28"/>
      <c r="AI141" s="28"/>
      <c r="AS141" s="35">
        <f>SUM(AJ142:AJ173)</f>
        <v>0</v>
      </c>
      <c r="AT141" s="35">
        <f>SUM(AK142:AK173)</f>
        <v>0</v>
      </c>
      <c r="AU141" s="35">
        <f>SUM(AL142:AL173)</f>
        <v>0</v>
      </c>
    </row>
    <row r="142" spans="1:62" x14ac:dyDescent="0.2">
      <c r="A142" s="4" t="s">
        <v>39</v>
      </c>
      <c r="B142" s="4" t="s">
        <v>165</v>
      </c>
      <c r="C142" s="60" t="s">
        <v>396</v>
      </c>
      <c r="D142" s="61"/>
      <c r="E142" s="61"/>
      <c r="F142" s="4" t="s">
        <v>613</v>
      </c>
      <c r="G142" s="15">
        <v>803</v>
      </c>
      <c r="H142" s="15">
        <v>0</v>
      </c>
      <c r="I142" s="15">
        <f>G142*AO142</f>
        <v>0</v>
      </c>
      <c r="J142" s="15">
        <f>G142*AP142</f>
        <v>0</v>
      </c>
      <c r="K142" s="15">
        <f>G142*H142</f>
        <v>0</v>
      </c>
      <c r="L142" s="27" t="s">
        <v>636</v>
      </c>
      <c r="Z142" s="32">
        <f>IF(AQ142="5",BJ142,0)</f>
        <v>0</v>
      </c>
      <c r="AB142" s="32">
        <f>IF(AQ142="1",BH142,0)</f>
        <v>0</v>
      </c>
      <c r="AC142" s="32">
        <f>IF(AQ142="1",BI142,0)</f>
        <v>0</v>
      </c>
      <c r="AD142" s="32">
        <f>IF(AQ142="7",BH142,0)</f>
        <v>0</v>
      </c>
      <c r="AE142" s="32">
        <f>IF(AQ142="7",BI142,0)</f>
        <v>0</v>
      </c>
      <c r="AF142" s="32">
        <f>IF(AQ142="2",BH142,0)</f>
        <v>0</v>
      </c>
      <c r="AG142" s="32">
        <f>IF(AQ142="2",BI142,0)</f>
        <v>0</v>
      </c>
      <c r="AH142" s="32">
        <f>IF(AQ142="0",BJ142,0)</f>
        <v>0</v>
      </c>
      <c r="AI142" s="28"/>
      <c r="AJ142" s="15">
        <f>IF(AN142=0,K142,0)</f>
        <v>0</v>
      </c>
      <c r="AK142" s="15">
        <f>IF(AN142=15,K142,0)</f>
        <v>0</v>
      </c>
      <c r="AL142" s="15">
        <f>IF(AN142=21,K142,0)</f>
        <v>0</v>
      </c>
      <c r="AN142" s="32">
        <v>21</v>
      </c>
      <c r="AO142" s="32">
        <f>H142*0</f>
        <v>0</v>
      </c>
      <c r="AP142" s="32">
        <f>H142*(1-0)</f>
        <v>0</v>
      </c>
      <c r="AQ142" s="27" t="s">
        <v>13</v>
      </c>
      <c r="AV142" s="32">
        <f>AW142+AX142</f>
        <v>0</v>
      </c>
      <c r="AW142" s="32">
        <f>G142*AO142</f>
        <v>0</v>
      </c>
      <c r="AX142" s="32">
        <f>G142*AP142</f>
        <v>0</v>
      </c>
      <c r="AY142" s="33" t="s">
        <v>656</v>
      </c>
      <c r="AZ142" s="33" t="s">
        <v>676</v>
      </c>
      <c r="BA142" s="28" t="s">
        <v>681</v>
      </c>
      <c r="BC142" s="32">
        <f>AW142+AX142</f>
        <v>0</v>
      </c>
      <c r="BD142" s="32">
        <f>H142/(100-BE142)*100</f>
        <v>0</v>
      </c>
      <c r="BE142" s="32">
        <v>0</v>
      </c>
      <c r="BF142" s="32">
        <f>140</f>
        <v>140</v>
      </c>
      <c r="BH142" s="15">
        <f>G142*AO142</f>
        <v>0</v>
      </c>
      <c r="BI142" s="15">
        <f>G142*AP142</f>
        <v>0</v>
      </c>
      <c r="BJ142" s="15">
        <f>G142*H142</f>
        <v>0</v>
      </c>
    </row>
    <row r="143" spans="1:62" x14ac:dyDescent="0.2">
      <c r="C143" s="58" t="s">
        <v>397</v>
      </c>
      <c r="D143" s="59"/>
      <c r="E143" s="59"/>
      <c r="G143" s="16">
        <v>775</v>
      </c>
    </row>
    <row r="144" spans="1:62" x14ac:dyDescent="0.2">
      <c r="C144" s="58" t="s">
        <v>398</v>
      </c>
      <c r="D144" s="59"/>
      <c r="E144" s="59"/>
      <c r="G144" s="16">
        <v>28</v>
      </c>
    </row>
    <row r="145" spans="1:62" x14ac:dyDescent="0.2">
      <c r="A145" s="4" t="s">
        <v>40</v>
      </c>
      <c r="B145" s="4" t="s">
        <v>166</v>
      </c>
      <c r="C145" s="60" t="s">
        <v>399</v>
      </c>
      <c r="D145" s="61"/>
      <c r="E145" s="61"/>
      <c r="F145" s="4" t="s">
        <v>613</v>
      </c>
      <c r="G145" s="15">
        <v>803</v>
      </c>
      <c r="H145" s="15">
        <v>0</v>
      </c>
      <c r="I145" s="15">
        <f>G145*AO145</f>
        <v>0</v>
      </c>
      <c r="J145" s="15">
        <f>G145*AP145</f>
        <v>0</v>
      </c>
      <c r="K145" s="15">
        <f>G145*H145</f>
        <v>0</v>
      </c>
      <c r="L145" s="27" t="s">
        <v>636</v>
      </c>
      <c r="Z145" s="32">
        <f>IF(AQ145="5",BJ145,0)</f>
        <v>0</v>
      </c>
      <c r="AB145" s="32">
        <f>IF(AQ145="1",BH145,0)</f>
        <v>0</v>
      </c>
      <c r="AC145" s="32">
        <f>IF(AQ145="1",BI145,0)</f>
        <v>0</v>
      </c>
      <c r="AD145" s="32">
        <f>IF(AQ145="7",BH145,0)</f>
        <v>0</v>
      </c>
      <c r="AE145" s="32">
        <f>IF(AQ145="7",BI145,0)</f>
        <v>0</v>
      </c>
      <c r="AF145" s="32">
        <f>IF(AQ145="2",BH145,0)</f>
        <v>0</v>
      </c>
      <c r="AG145" s="32">
        <f>IF(AQ145="2",BI145,0)</f>
        <v>0</v>
      </c>
      <c r="AH145" s="32">
        <f>IF(AQ145="0",BJ145,0)</f>
        <v>0</v>
      </c>
      <c r="AI145" s="28"/>
      <c r="AJ145" s="15">
        <f>IF(AN145=0,K145,0)</f>
        <v>0</v>
      </c>
      <c r="AK145" s="15">
        <f>IF(AN145=15,K145,0)</f>
        <v>0</v>
      </c>
      <c r="AL145" s="15">
        <f>IF(AN145=21,K145,0)</f>
        <v>0</v>
      </c>
      <c r="AN145" s="32">
        <v>21</v>
      </c>
      <c r="AO145" s="32">
        <f>H145*0</f>
        <v>0</v>
      </c>
      <c r="AP145" s="32">
        <f>H145*(1-0)</f>
        <v>0</v>
      </c>
      <c r="AQ145" s="27" t="s">
        <v>13</v>
      </c>
      <c r="AV145" s="32">
        <f>AW145+AX145</f>
        <v>0</v>
      </c>
      <c r="AW145" s="32">
        <f>G145*AO145</f>
        <v>0</v>
      </c>
      <c r="AX145" s="32">
        <f>G145*AP145</f>
        <v>0</v>
      </c>
      <c r="AY145" s="33" t="s">
        <v>656</v>
      </c>
      <c r="AZ145" s="33" t="s">
        <v>676</v>
      </c>
      <c r="BA145" s="28" t="s">
        <v>681</v>
      </c>
      <c r="BC145" s="32">
        <f>AW145+AX145</f>
        <v>0</v>
      </c>
      <c r="BD145" s="32">
        <f>H145/(100-BE145)*100</f>
        <v>0</v>
      </c>
      <c r="BE145" s="32">
        <v>0</v>
      </c>
      <c r="BF145" s="32">
        <f>143</f>
        <v>143</v>
      </c>
      <c r="BH145" s="15">
        <f>G145*AO145</f>
        <v>0</v>
      </c>
      <c r="BI145" s="15">
        <f>G145*AP145</f>
        <v>0</v>
      </c>
      <c r="BJ145" s="15">
        <f>G145*H145</f>
        <v>0</v>
      </c>
    </row>
    <row r="146" spans="1:62" x14ac:dyDescent="0.2">
      <c r="C146" s="58" t="s">
        <v>400</v>
      </c>
      <c r="D146" s="59"/>
      <c r="E146" s="59"/>
      <c r="G146" s="16">
        <v>803</v>
      </c>
    </row>
    <row r="147" spans="1:62" x14ac:dyDescent="0.2">
      <c r="A147" s="4" t="s">
        <v>41</v>
      </c>
      <c r="B147" s="4" t="s">
        <v>167</v>
      </c>
      <c r="C147" s="60" t="s">
        <v>729</v>
      </c>
      <c r="D147" s="61"/>
      <c r="E147" s="61"/>
      <c r="F147" s="4" t="s">
        <v>616</v>
      </c>
      <c r="G147" s="15">
        <v>112</v>
      </c>
      <c r="H147" s="15">
        <v>0</v>
      </c>
      <c r="I147" s="15">
        <f>G147*AO147</f>
        <v>0</v>
      </c>
      <c r="J147" s="15">
        <f>G147*AP147</f>
        <v>0</v>
      </c>
      <c r="K147" s="15">
        <f>G147*H147</f>
        <v>0</v>
      </c>
      <c r="L147" s="27" t="s">
        <v>636</v>
      </c>
      <c r="Z147" s="32">
        <f>IF(AQ147="5",BJ147,0)</f>
        <v>0</v>
      </c>
      <c r="AB147" s="32">
        <f>IF(AQ147="1",BH147,0)</f>
        <v>0</v>
      </c>
      <c r="AC147" s="32">
        <f>IF(AQ147="1",BI147,0)</f>
        <v>0</v>
      </c>
      <c r="AD147" s="32">
        <f>IF(AQ147="7",BH147,0)</f>
        <v>0</v>
      </c>
      <c r="AE147" s="32">
        <f>IF(AQ147="7",BI147,0)</f>
        <v>0</v>
      </c>
      <c r="AF147" s="32">
        <f>IF(AQ147="2",BH147,0)</f>
        <v>0</v>
      </c>
      <c r="AG147" s="32">
        <f>IF(AQ147="2",BI147,0)</f>
        <v>0</v>
      </c>
      <c r="AH147" s="32">
        <f>IF(AQ147="0",BJ147,0)</f>
        <v>0</v>
      </c>
      <c r="AI147" s="28"/>
      <c r="AJ147" s="15">
        <f>IF(AN147=0,K147,0)</f>
        <v>0</v>
      </c>
      <c r="AK147" s="15">
        <f>IF(AN147=15,K147,0)</f>
        <v>0</v>
      </c>
      <c r="AL147" s="15">
        <f>IF(AN147=21,K147,0)</f>
        <v>0</v>
      </c>
      <c r="AN147" s="32">
        <v>21</v>
      </c>
      <c r="AO147" s="32">
        <f>H147*0.41157437567861</f>
        <v>0</v>
      </c>
      <c r="AP147" s="32">
        <f>H147*(1-0.41157437567861)</f>
        <v>0</v>
      </c>
      <c r="AQ147" s="27" t="s">
        <v>13</v>
      </c>
      <c r="AV147" s="32">
        <f>AW147+AX147</f>
        <v>0</v>
      </c>
      <c r="AW147" s="32">
        <f>G147*AO147</f>
        <v>0</v>
      </c>
      <c r="AX147" s="32">
        <f>G147*AP147</f>
        <v>0</v>
      </c>
      <c r="AY147" s="33" t="s">
        <v>656</v>
      </c>
      <c r="AZ147" s="33" t="s">
        <v>676</v>
      </c>
      <c r="BA147" s="28" t="s">
        <v>681</v>
      </c>
      <c r="BC147" s="32">
        <f>AW147+AX147</f>
        <v>0</v>
      </c>
      <c r="BD147" s="32">
        <f>H147/(100-BE147)*100</f>
        <v>0</v>
      </c>
      <c r="BE147" s="32">
        <v>0</v>
      </c>
      <c r="BF147" s="32">
        <f>145</f>
        <v>145</v>
      </c>
      <c r="BH147" s="15">
        <f>G147*AO147</f>
        <v>0</v>
      </c>
      <c r="BI147" s="15">
        <f>G147*AP147</f>
        <v>0</v>
      </c>
      <c r="BJ147" s="15">
        <f>G147*H147</f>
        <v>0</v>
      </c>
    </row>
    <row r="148" spans="1:62" x14ac:dyDescent="0.2">
      <c r="C148" s="58" t="s">
        <v>401</v>
      </c>
      <c r="D148" s="59"/>
      <c r="E148" s="59"/>
      <c r="G148" s="16">
        <v>112</v>
      </c>
    </row>
    <row r="149" spans="1:62" x14ac:dyDescent="0.2">
      <c r="A149" s="4" t="s">
        <v>42</v>
      </c>
      <c r="B149" s="4" t="s">
        <v>168</v>
      </c>
      <c r="C149" s="60" t="s">
        <v>730</v>
      </c>
      <c r="D149" s="61"/>
      <c r="E149" s="61"/>
      <c r="F149" s="4" t="s">
        <v>616</v>
      </c>
      <c r="G149" s="15">
        <v>112</v>
      </c>
      <c r="H149" s="15">
        <v>0</v>
      </c>
      <c r="I149" s="15">
        <f>G149*AO149</f>
        <v>0</v>
      </c>
      <c r="J149" s="15">
        <f>G149*AP149</f>
        <v>0</v>
      </c>
      <c r="K149" s="15">
        <f>G149*H149</f>
        <v>0</v>
      </c>
      <c r="L149" s="27" t="s">
        <v>636</v>
      </c>
      <c r="Z149" s="32">
        <f>IF(AQ149="5",BJ149,0)</f>
        <v>0</v>
      </c>
      <c r="AB149" s="32">
        <f>IF(AQ149="1",BH149,0)</f>
        <v>0</v>
      </c>
      <c r="AC149" s="32">
        <f>IF(AQ149="1",BI149,0)</f>
        <v>0</v>
      </c>
      <c r="AD149" s="32">
        <f>IF(AQ149="7",BH149,0)</f>
        <v>0</v>
      </c>
      <c r="AE149" s="32">
        <f>IF(AQ149="7",BI149,0)</f>
        <v>0</v>
      </c>
      <c r="AF149" s="32">
        <f>IF(AQ149="2",BH149,0)</f>
        <v>0</v>
      </c>
      <c r="AG149" s="32">
        <f>IF(AQ149="2",BI149,0)</f>
        <v>0</v>
      </c>
      <c r="AH149" s="32">
        <f>IF(AQ149="0",BJ149,0)</f>
        <v>0</v>
      </c>
      <c r="AI149" s="28"/>
      <c r="AJ149" s="15">
        <f>IF(AN149=0,K149,0)</f>
        <v>0</v>
      </c>
      <c r="AK149" s="15">
        <f>IF(AN149=15,K149,0)</f>
        <v>0</v>
      </c>
      <c r="AL149" s="15">
        <f>IF(AN149=21,K149,0)</f>
        <v>0</v>
      </c>
      <c r="AN149" s="32">
        <v>21</v>
      </c>
      <c r="AO149" s="32">
        <f>H149*0.353857142857143</f>
        <v>0</v>
      </c>
      <c r="AP149" s="32">
        <f>H149*(1-0.353857142857143)</f>
        <v>0</v>
      </c>
      <c r="AQ149" s="27" t="s">
        <v>13</v>
      </c>
      <c r="AV149" s="32">
        <f>AW149+AX149</f>
        <v>0</v>
      </c>
      <c r="AW149" s="32">
        <f>G149*AO149</f>
        <v>0</v>
      </c>
      <c r="AX149" s="32">
        <f>G149*AP149</f>
        <v>0</v>
      </c>
      <c r="AY149" s="33" t="s">
        <v>656</v>
      </c>
      <c r="AZ149" s="33" t="s">
        <v>676</v>
      </c>
      <c r="BA149" s="28" t="s">
        <v>681</v>
      </c>
      <c r="BC149" s="32">
        <f>AW149+AX149</f>
        <v>0</v>
      </c>
      <c r="BD149" s="32">
        <f>H149/(100-BE149)*100</f>
        <v>0</v>
      </c>
      <c r="BE149" s="32">
        <v>0</v>
      </c>
      <c r="BF149" s="32">
        <f>147</f>
        <v>147</v>
      </c>
      <c r="BH149" s="15">
        <f>G149*AO149</f>
        <v>0</v>
      </c>
      <c r="BI149" s="15">
        <f>G149*AP149</f>
        <v>0</v>
      </c>
      <c r="BJ149" s="15">
        <f>G149*H149</f>
        <v>0</v>
      </c>
    </row>
    <row r="150" spans="1:62" x14ac:dyDescent="0.2">
      <c r="C150" s="58" t="s">
        <v>401</v>
      </c>
      <c r="D150" s="59"/>
      <c r="E150" s="59"/>
      <c r="G150" s="16">
        <v>112</v>
      </c>
    </row>
    <row r="151" spans="1:62" x14ac:dyDescent="0.2">
      <c r="A151" s="4" t="s">
        <v>43</v>
      </c>
      <c r="B151" s="4" t="s">
        <v>169</v>
      </c>
      <c r="C151" s="60" t="s">
        <v>731</v>
      </c>
      <c r="D151" s="61"/>
      <c r="E151" s="61"/>
      <c r="F151" s="4" t="s">
        <v>616</v>
      </c>
      <c r="G151" s="15">
        <v>224</v>
      </c>
      <c r="H151" s="15">
        <v>0</v>
      </c>
      <c r="I151" s="15">
        <f>G151*AO151</f>
        <v>0</v>
      </c>
      <c r="J151" s="15">
        <f>G151*AP151</f>
        <v>0</v>
      </c>
      <c r="K151" s="15">
        <f>G151*H151</f>
        <v>0</v>
      </c>
      <c r="L151" s="27" t="s">
        <v>636</v>
      </c>
      <c r="Z151" s="32">
        <f>IF(AQ151="5",BJ151,0)</f>
        <v>0</v>
      </c>
      <c r="AB151" s="32">
        <f>IF(AQ151="1",BH151,0)</f>
        <v>0</v>
      </c>
      <c r="AC151" s="32">
        <f>IF(AQ151="1",BI151,0)</f>
        <v>0</v>
      </c>
      <c r="AD151" s="32">
        <f>IF(AQ151="7",BH151,0)</f>
        <v>0</v>
      </c>
      <c r="AE151" s="32">
        <f>IF(AQ151="7",BI151,0)</f>
        <v>0</v>
      </c>
      <c r="AF151" s="32">
        <f>IF(AQ151="2",BH151,0)</f>
        <v>0</v>
      </c>
      <c r="AG151" s="32">
        <f>IF(AQ151="2",BI151,0)</f>
        <v>0</v>
      </c>
      <c r="AH151" s="32">
        <f>IF(AQ151="0",BJ151,0)</f>
        <v>0</v>
      </c>
      <c r="AI151" s="28"/>
      <c r="AJ151" s="15">
        <f>IF(AN151=0,K151,0)</f>
        <v>0</v>
      </c>
      <c r="AK151" s="15">
        <f>IF(AN151=15,K151,0)</f>
        <v>0</v>
      </c>
      <c r="AL151" s="15">
        <f>IF(AN151=21,K151,0)</f>
        <v>0</v>
      </c>
      <c r="AN151" s="32">
        <v>21</v>
      </c>
      <c r="AO151" s="32">
        <f>H151*0.353857142857143</f>
        <v>0</v>
      </c>
      <c r="AP151" s="32">
        <f>H151*(1-0.353857142857143)</f>
        <v>0</v>
      </c>
      <c r="AQ151" s="27" t="s">
        <v>13</v>
      </c>
      <c r="AV151" s="32">
        <f>AW151+AX151</f>
        <v>0</v>
      </c>
      <c r="AW151" s="32">
        <f>G151*AO151</f>
        <v>0</v>
      </c>
      <c r="AX151" s="32">
        <f>G151*AP151</f>
        <v>0</v>
      </c>
      <c r="AY151" s="33" t="s">
        <v>656</v>
      </c>
      <c r="AZ151" s="33" t="s">
        <v>676</v>
      </c>
      <c r="BA151" s="28" t="s">
        <v>681</v>
      </c>
      <c r="BC151" s="32">
        <f>AW151+AX151</f>
        <v>0</v>
      </c>
      <c r="BD151" s="32">
        <f>H151/(100-BE151)*100</f>
        <v>0</v>
      </c>
      <c r="BE151" s="32">
        <v>0</v>
      </c>
      <c r="BF151" s="32">
        <f>149</f>
        <v>149</v>
      </c>
      <c r="BH151" s="15">
        <f>G151*AO151</f>
        <v>0</v>
      </c>
      <c r="BI151" s="15">
        <f>G151*AP151</f>
        <v>0</v>
      </c>
      <c r="BJ151" s="15">
        <f>G151*H151</f>
        <v>0</v>
      </c>
    </row>
    <row r="152" spans="1:62" x14ac:dyDescent="0.2">
      <c r="C152" s="58" t="s">
        <v>402</v>
      </c>
      <c r="D152" s="59"/>
      <c r="E152" s="59"/>
      <c r="G152" s="16">
        <v>224</v>
      </c>
    </row>
    <row r="153" spans="1:62" x14ac:dyDescent="0.2">
      <c r="A153" s="4" t="s">
        <v>44</v>
      </c>
      <c r="B153" s="4" t="s">
        <v>170</v>
      </c>
      <c r="C153" s="60" t="s">
        <v>403</v>
      </c>
      <c r="D153" s="61"/>
      <c r="E153" s="61"/>
      <c r="F153" s="4" t="s">
        <v>616</v>
      </c>
      <c r="G153" s="15">
        <v>112</v>
      </c>
      <c r="H153" s="15">
        <v>0</v>
      </c>
      <c r="I153" s="15">
        <f>G153*AO153</f>
        <v>0</v>
      </c>
      <c r="J153" s="15">
        <f>G153*AP153</f>
        <v>0</v>
      </c>
      <c r="K153" s="15">
        <f>G153*H153</f>
        <v>0</v>
      </c>
      <c r="L153" s="27" t="s">
        <v>636</v>
      </c>
      <c r="Z153" s="32">
        <f>IF(AQ153="5",BJ153,0)</f>
        <v>0</v>
      </c>
      <c r="AB153" s="32">
        <f>IF(AQ153="1",BH153,0)</f>
        <v>0</v>
      </c>
      <c r="AC153" s="32">
        <f>IF(AQ153="1",BI153,0)</f>
        <v>0</v>
      </c>
      <c r="AD153" s="32">
        <f>IF(AQ153="7",BH153,0)</f>
        <v>0</v>
      </c>
      <c r="AE153" s="32">
        <f>IF(AQ153="7",BI153,0)</f>
        <v>0</v>
      </c>
      <c r="AF153" s="32">
        <f>IF(AQ153="2",BH153,0)</f>
        <v>0</v>
      </c>
      <c r="AG153" s="32">
        <f>IF(AQ153="2",BI153,0)</f>
        <v>0</v>
      </c>
      <c r="AH153" s="32">
        <f>IF(AQ153="0",BJ153,0)</f>
        <v>0</v>
      </c>
      <c r="AI153" s="28"/>
      <c r="AJ153" s="15">
        <f>IF(AN153=0,K153,0)</f>
        <v>0</v>
      </c>
      <c r="AK153" s="15">
        <f>IF(AN153=15,K153,0)</f>
        <v>0</v>
      </c>
      <c r="AL153" s="15">
        <f>IF(AN153=21,K153,0)</f>
        <v>0</v>
      </c>
      <c r="AN153" s="32">
        <v>21</v>
      </c>
      <c r="AO153" s="32">
        <f>H153*0.421980676328502</f>
        <v>0</v>
      </c>
      <c r="AP153" s="32">
        <f>H153*(1-0.421980676328502)</f>
        <v>0</v>
      </c>
      <c r="AQ153" s="27" t="s">
        <v>13</v>
      </c>
      <c r="AV153" s="32">
        <f>AW153+AX153</f>
        <v>0</v>
      </c>
      <c r="AW153" s="32">
        <f>G153*AO153</f>
        <v>0</v>
      </c>
      <c r="AX153" s="32">
        <f>G153*AP153</f>
        <v>0</v>
      </c>
      <c r="AY153" s="33" t="s">
        <v>656</v>
      </c>
      <c r="AZ153" s="33" t="s">
        <v>676</v>
      </c>
      <c r="BA153" s="28" t="s">
        <v>681</v>
      </c>
      <c r="BC153" s="32">
        <f>AW153+AX153</f>
        <v>0</v>
      </c>
      <c r="BD153" s="32">
        <f>H153/(100-BE153)*100</f>
        <v>0</v>
      </c>
      <c r="BE153" s="32">
        <v>0</v>
      </c>
      <c r="BF153" s="32">
        <f>151</f>
        <v>151</v>
      </c>
      <c r="BH153" s="15">
        <f>G153*AO153</f>
        <v>0</v>
      </c>
      <c r="BI153" s="15">
        <f>G153*AP153</f>
        <v>0</v>
      </c>
      <c r="BJ153" s="15">
        <f>G153*H153</f>
        <v>0</v>
      </c>
    </row>
    <row r="154" spans="1:62" x14ac:dyDescent="0.2">
      <c r="C154" s="58" t="s">
        <v>401</v>
      </c>
      <c r="D154" s="59"/>
      <c r="E154" s="59"/>
      <c r="G154" s="16">
        <v>112</v>
      </c>
    </row>
    <row r="155" spans="1:62" x14ac:dyDescent="0.2">
      <c r="A155" s="6" t="s">
        <v>45</v>
      </c>
      <c r="B155" s="6" t="s">
        <v>171</v>
      </c>
      <c r="C155" s="68" t="s">
        <v>404</v>
      </c>
      <c r="D155" s="69"/>
      <c r="E155" s="69"/>
      <c r="F155" s="6" t="s">
        <v>616</v>
      </c>
      <c r="G155" s="17">
        <v>112</v>
      </c>
      <c r="H155" s="17">
        <v>0</v>
      </c>
      <c r="I155" s="17">
        <f>G155*AO155</f>
        <v>0</v>
      </c>
      <c r="J155" s="17">
        <f>G155*AP155</f>
        <v>0</v>
      </c>
      <c r="K155" s="17">
        <f>G155*H155</f>
        <v>0</v>
      </c>
      <c r="L155" s="29" t="s">
        <v>636</v>
      </c>
      <c r="Z155" s="32">
        <f>IF(AQ155="5",BJ155,0)</f>
        <v>0</v>
      </c>
      <c r="AB155" s="32">
        <f>IF(AQ155="1",BH155,0)</f>
        <v>0</v>
      </c>
      <c r="AC155" s="32">
        <f>IF(AQ155="1",BI155,0)</f>
        <v>0</v>
      </c>
      <c r="AD155" s="32">
        <f>IF(AQ155="7",BH155,0)</f>
        <v>0</v>
      </c>
      <c r="AE155" s="32">
        <f>IF(AQ155="7",BI155,0)</f>
        <v>0</v>
      </c>
      <c r="AF155" s="32">
        <f>IF(AQ155="2",BH155,0)</f>
        <v>0</v>
      </c>
      <c r="AG155" s="32">
        <f>IF(AQ155="2",BI155,0)</f>
        <v>0</v>
      </c>
      <c r="AH155" s="32">
        <f>IF(AQ155="0",BJ155,0)</f>
        <v>0</v>
      </c>
      <c r="AI155" s="28"/>
      <c r="AJ155" s="17">
        <f>IF(AN155=0,K155,0)</f>
        <v>0</v>
      </c>
      <c r="AK155" s="17">
        <f>IF(AN155=15,K155,0)</f>
        <v>0</v>
      </c>
      <c r="AL155" s="17">
        <f>IF(AN155=21,K155,0)</f>
        <v>0</v>
      </c>
      <c r="AN155" s="32">
        <v>21</v>
      </c>
      <c r="AO155" s="32">
        <f>H155*1</f>
        <v>0</v>
      </c>
      <c r="AP155" s="32">
        <f>H155*(1-1)</f>
        <v>0</v>
      </c>
      <c r="AQ155" s="29" t="s">
        <v>13</v>
      </c>
      <c r="AV155" s="32">
        <f>AW155+AX155</f>
        <v>0</v>
      </c>
      <c r="AW155" s="32">
        <f>G155*AO155</f>
        <v>0</v>
      </c>
      <c r="AX155" s="32">
        <f>G155*AP155</f>
        <v>0</v>
      </c>
      <c r="AY155" s="33" t="s">
        <v>656</v>
      </c>
      <c r="AZ155" s="33" t="s">
        <v>676</v>
      </c>
      <c r="BA155" s="28" t="s">
        <v>681</v>
      </c>
      <c r="BC155" s="32">
        <f>AW155+AX155</f>
        <v>0</v>
      </c>
      <c r="BD155" s="32">
        <f>H155/(100-BE155)*100</f>
        <v>0</v>
      </c>
      <c r="BE155" s="32">
        <v>0</v>
      </c>
      <c r="BF155" s="32">
        <f>153</f>
        <v>153</v>
      </c>
      <c r="BH155" s="17">
        <f>G155*AO155</f>
        <v>0</v>
      </c>
      <c r="BI155" s="17">
        <f>G155*AP155</f>
        <v>0</v>
      </c>
      <c r="BJ155" s="17">
        <f>G155*H155</f>
        <v>0</v>
      </c>
    </row>
    <row r="156" spans="1:62" x14ac:dyDescent="0.2">
      <c r="C156" s="58" t="s">
        <v>405</v>
      </c>
      <c r="D156" s="59"/>
      <c r="E156" s="59"/>
      <c r="G156" s="16">
        <v>112</v>
      </c>
    </row>
    <row r="157" spans="1:62" x14ac:dyDescent="0.2">
      <c r="A157" s="4" t="s">
        <v>46</v>
      </c>
      <c r="B157" s="4" t="s">
        <v>172</v>
      </c>
      <c r="C157" s="60" t="s">
        <v>406</v>
      </c>
      <c r="D157" s="61"/>
      <c r="E157" s="61"/>
      <c r="F157" s="4" t="s">
        <v>617</v>
      </c>
      <c r="G157" s="15">
        <v>2</v>
      </c>
      <c r="H157" s="15">
        <v>0</v>
      </c>
      <c r="I157" s="15">
        <f>G157*AO157</f>
        <v>0</v>
      </c>
      <c r="J157" s="15">
        <f>G157*AP157</f>
        <v>0</v>
      </c>
      <c r="K157" s="15">
        <f>G157*H157</f>
        <v>0</v>
      </c>
      <c r="L157" s="27" t="s">
        <v>636</v>
      </c>
      <c r="Z157" s="32">
        <f>IF(AQ157="5",BJ157,0)</f>
        <v>0</v>
      </c>
      <c r="AB157" s="32">
        <f>IF(AQ157="1",BH157,0)</f>
        <v>0</v>
      </c>
      <c r="AC157" s="32">
        <f>IF(AQ157="1",BI157,0)</f>
        <v>0</v>
      </c>
      <c r="AD157" s="32">
        <f>IF(AQ157="7",BH157,0)</f>
        <v>0</v>
      </c>
      <c r="AE157" s="32">
        <f>IF(AQ157="7",BI157,0)</f>
        <v>0</v>
      </c>
      <c r="AF157" s="32">
        <f>IF(AQ157="2",BH157,0)</f>
        <v>0</v>
      </c>
      <c r="AG157" s="32">
        <f>IF(AQ157="2",BI157,0)</f>
        <v>0</v>
      </c>
      <c r="AH157" s="32">
        <f>IF(AQ157="0",BJ157,0)</f>
        <v>0</v>
      </c>
      <c r="AI157" s="28"/>
      <c r="AJ157" s="15">
        <f>IF(AN157=0,K157,0)</f>
        <v>0</v>
      </c>
      <c r="AK157" s="15">
        <f>IF(AN157=15,K157,0)</f>
        <v>0</v>
      </c>
      <c r="AL157" s="15">
        <f>IF(AN157=21,K157,0)</f>
        <v>0</v>
      </c>
      <c r="AN157" s="32">
        <v>21</v>
      </c>
      <c r="AO157" s="32">
        <f>H157*0.805323743819259</f>
        <v>0</v>
      </c>
      <c r="AP157" s="32">
        <f>H157*(1-0.805323743819259)</f>
        <v>0</v>
      </c>
      <c r="AQ157" s="27" t="s">
        <v>13</v>
      </c>
      <c r="AV157" s="32">
        <f>AW157+AX157</f>
        <v>0</v>
      </c>
      <c r="AW157" s="32">
        <f>G157*AO157</f>
        <v>0</v>
      </c>
      <c r="AX157" s="32">
        <f>G157*AP157</f>
        <v>0</v>
      </c>
      <c r="AY157" s="33" t="s">
        <v>656</v>
      </c>
      <c r="AZ157" s="33" t="s">
        <v>676</v>
      </c>
      <c r="BA157" s="28" t="s">
        <v>681</v>
      </c>
      <c r="BC157" s="32">
        <f>AW157+AX157</f>
        <v>0</v>
      </c>
      <c r="BD157" s="32">
        <f>H157/(100-BE157)*100</f>
        <v>0</v>
      </c>
      <c r="BE157" s="32">
        <v>0</v>
      </c>
      <c r="BF157" s="32">
        <f>155</f>
        <v>155</v>
      </c>
      <c r="BH157" s="15">
        <f>G157*AO157</f>
        <v>0</v>
      </c>
      <c r="BI157" s="15">
        <f>G157*AP157</f>
        <v>0</v>
      </c>
      <c r="BJ157" s="15">
        <f>G157*H157</f>
        <v>0</v>
      </c>
    </row>
    <row r="158" spans="1:62" x14ac:dyDescent="0.2">
      <c r="C158" s="58" t="s">
        <v>407</v>
      </c>
      <c r="D158" s="59"/>
      <c r="E158" s="59"/>
      <c r="G158" s="16">
        <v>2</v>
      </c>
    </row>
    <row r="159" spans="1:62" x14ac:dyDescent="0.2">
      <c r="A159" s="4" t="s">
        <v>47</v>
      </c>
      <c r="B159" s="4" t="s">
        <v>173</v>
      </c>
      <c r="C159" s="60" t="s">
        <v>408</v>
      </c>
      <c r="D159" s="61"/>
      <c r="E159" s="61"/>
      <c r="F159" s="4" t="s">
        <v>617</v>
      </c>
      <c r="G159" s="15">
        <v>2</v>
      </c>
      <c r="H159" s="15">
        <v>0</v>
      </c>
      <c r="I159" s="15">
        <f>G159*AO159</f>
        <v>0</v>
      </c>
      <c r="J159" s="15">
        <f>G159*AP159</f>
        <v>0</v>
      </c>
      <c r="K159" s="15">
        <f>G159*H159</f>
        <v>0</v>
      </c>
      <c r="L159" s="27"/>
      <c r="Z159" s="32">
        <f>IF(AQ159="5",BJ159,0)</f>
        <v>0</v>
      </c>
      <c r="AB159" s="32">
        <f>IF(AQ159="1",BH159,0)</f>
        <v>0</v>
      </c>
      <c r="AC159" s="32">
        <f>IF(AQ159="1",BI159,0)</f>
        <v>0</v>
      </c>
      <c r="AD159" s="32">
        <f>IF(AQ159="7",BH159,0)</f>
        <v>0</v>
      </c>
      <c r="AE159" s="32">
        <f>IF(AQ159="7",BI159,0)</f>
        <v>0</v>
      </c>
      <c r="AF159" s="32">
        <f>IF(AQ159="2",BH159,0)</f>
        <v>0</v>
      </c>
      <c r="AG159" s="32">
        <f>IF(AQ159="2",BI159,0)</f>
        <v>0</v>
      </c>
      <c r="AH159" s="32">
        <f>IF(AQ159="0",BJ159,0)</f>
        <v>0</v>
      </c>
      <c r="AI159" s="28"/>
      <c r="AJ159" s="15">
        <f>IF(AN159=0,K159,0)</f>
        <v>0</v>
      </c>
      <c r="AK159" s="15">
        <f>IF(AN159=15,K159,0)</f>
        <v>0</v>
      </c>
      <c r="AL159" s="15">
        <f>IF(AN159=21,K159,0)</f>
        <v>0</v>
      </c>
      <c r="AN159" s="32">
        <v>21</v>
      </c>
      <c r="AO159" s="32">
        <f>H159*0.714285714285714</f>
        <v>0</v>
      </c>
      <c r="AP159" s="32">
        <f>H159*(1-0.714285714285714)</f>
        <v>0</v>
      </c>
      <c r="AQ159" s="27" t="s">
        <v>13</v>
      </c>
      <c r="AV159" s="32">
        <f>AW159+AX159</f>
        <v>0</v>
      </c>
      <c r="AW159" s="32">
        <f>G159*AO159</f>
        <v>0</v>
      </c>
      <c r="AX159" s="32">
        <f>G159*AP159</f>
        <v>0</v>
      </c>
      <c r="AY159" s="33" t="s">
        <v>656</v>
      </c>
      <c r="AZ159" s="33" t="s">
        <v>676</v>
      </c>
      <c r="BA159" s="28" t="s">
        <v>681</v>
      </c>
      <c r="BC159" s="32">
        <f>AW159+AX159</f>
        <v>0</v>
      </c>
      <c r="BD159" s="32">
        <f>H159/(100-BE159)*100</f>
        <v>0</v>
      </c>
      <c r="BE159" s="32">
        <v>0</v>
      </c>
      <c r="BF159" s="32">
        <f>157</f>
        <v>157</v>
      </c>
      <c r="BH159" s="15">
        <f>G159*AO159</f>
        <v>0</v>
      </c>
      <c r="BI159" s="15">
        <f>G159*AP159</f>
        <v>0</v>
      </c>
      <c r="BJ159" s="15">
        <f>G159*H159</f>
        <v>0</v>
      </c>
    </row>
    <row r="160" spans="1:62" x14ac:dyDescent="0.2">
      <c r="C160" s="58" t="s">
        <v>409</v>
      </c>
      <c r="D160" s="59"/>
      <c r="E160" s="59"/>
      <c r="G160" s="16">
        <v>2</v>
      </c>
    </row>
    <row r="161" spans="1:62" x14ac:dyDescent="0.2">
      <c r="A161" s="4" t="s">
        <v>48</v>
      </c>
      <c r="B161" s="4" t="s">
        <v>174</v>
      </c>
      <c r="C161" s="60" t="s">
        <v>410</v>
      </c>
      <c r="D161" s="61"/>
      <c r="E161" s="61"/>
      <c r="F161" s="4" t="s">
        <v>613</v>
      </c>
      <c r="G161" s="15">
        <v>803</v>
      </c>
      <c r="H161" s="15">
        <v>0</v>
      </c>
      <c r="I161" s="15">
        <f>G161*AO161</f>
        <v>0</v>
      </c>
      <c r="J161" s="15">
        <f>G161*AP161</f>
        <v>0</v>
      </c>
      <c r="K161" s="15">
        <f>G161*H161</f>
        <v>0</v>
      </c>
      <c r="L161" s="27" t="s">
        <v>636</v>
      </c>
      <c r="Z161" s="32">
        <f>IF(AQ161="5",BJ161,0)</f>
        <v>0</v>
      </c>
      <c r="AB161" s="32">
        <f>IF(AQ161="1",BH161,0)</f>
        <v>0</v>
      </c>
      <c r="AC161" s="32">
        <f>IF(AQ161="1",BI161,0)</f>
        <v>0</v>
      </c>
      <c r="AD161" s="32">
        <f>IF(AQ161="7",BH161,0)</f>
        <v>0</v>
      </c>
      <c r="AE161" s="32">
        <f>IF(AQ161="7",BI161,0)</f>
        <v>0</v>
      </c>
      <c r="AF161" s="32">
        <f>IF(AQ161="2",BH161,0)</f>
        <v>0</v>
      </c>
      <c r="AG161" s="32">
        <f>IF(AQ161="2",BI161,0)</f>
        <v>0</v>
      </c>
      <c r="AH161" s="32">
        <f>IF(AQ161="0",BJ161,0)</f>
        <v>0</v>
      </c>
      <c r="AI161" s="28"/>
      <c r="AJ161" s="15">
        <f>IF(AN161=0,K161,0)</f>
        <v>0</v>
      </c>
      <c r="AK161" s="15">
        <f>IF(AN161=15,K161,0)</f>
        <v>0</v>
      </c>
      <c r="AL161" s="15">
        <f>IF(AN161=21,K161,0)</f>
        <v>0</v>
      </c>
      <c r="AN161" s="32">
        <v>21</v>
      </c>
      <c r="AO161" s="32">
        <f>H161*0</f>
        <v>0</v>
      </c>
      <c r="AP161" s="32">
        <f>H161*(1-0)</f>
        <v>0</v>
      </c>
      <c r="AQ161" s="27" t="s">
        <v>13</v>
      </c>
      <c r="AV161" s="32">
        <f>AW161+AX161</f>
        <v>0</v>
      </c>
      <c r="AW161" s="32">
        <f>G161*AO161</f>
        <v>0</v>
      </c>
      <c r="AX161" s="32">
        <f>G161*AP161</f>
        <v>0</v>
      </c>
      <c r="AY161" s="33" t="s">
        <v>656</v>
      </c>
      <c r="AZ161" s="33" t="s">
        <v>676</v>
      </c>
      <c r="BA161" s="28" t="s">
        <v>681</v>
      </c>
      <c r="BC161" s="32">
        <f>AW161+AX161</f>
        <v>0</v>
      </c>
      <c r="BD161" s="32">
        <f>H161/(100-BE161)*100</f>
        <v>0</v>
      </c>
      <c r="BE161" s="32">
        <v>0</v>
      </c>
      <c r="BF161" s="32">
        <f>159</f>
        <v>159</v>
      </c>
      <c r="BH161" s="15">
        <f>G161*AO161</f>
        <v>0</v>
      </c>
      <c r="BI161" s="15">
        <f>G161*AP161</f>
        <v>0</v>
      </c>
      <c r="BJ161" s="15">
        <f>G161*H161</f>
        <v>0</v>
      </c>
    </row>
    <row r="162" spans="1:62" x14ac:dyDescent="0.2">
      <c r="C162" s="58" t="s">
        <v>411</v>
      </c>
      <c r="D162" s="59"/>
      <c r="E162" s="59"/>
      <c r="G162" s="16">
        <v>803</v>
      </c>
    </row>
    <row r="163" spans="1:62" x14ac:dyDescent="0.2">
      <c r="A163" s="6" t="s">
        <v>49</v>
      </c>
      <c r="B163" s="6" t="s">
        <v>175</v>
      </c>
      <c r="C163" s="68" t="s">
        <v>732</v>
      </c>
      <c r="D163" s="69"/>
      <c r="E163" s="69"/>
      <c r="F163" s="6" t="s">
        <v>613</v>
      </c>
      <c r="G163" s="17">
        <v>843.15</v>
      </c>
      <c r="H163" s="17">
        <v>0</v>
      </c>
      <c r="I163" s="17">
        <f>G163*AO163</f>
        <v>0</v>
      </c>
      <c r="J163" s="17">
        <f>G163*AP163</f>
        <v>0</v>
      </c>
      <c r="K163" s="17">
        <f>G163*H163</f>
        <v>0</v>
      </c>
      <c r="L163" s="29" t="s">
        <v>637</v>
      </c>
      <c r="Z163" s="32">
        <f>IF(AQ163="5",BJ163,0)</f>
        <v>0</v>
      </c>
      <c r="AB163" s="32">
        <f>IF(AQ163="1",BH163,0)</f>
        <v>0</v>
      </c>
      <c r="AC163" s="32">
        <f>IF(AQ163="1",BI163,0)</f>
        <v>0</v>
      </c>
      <c r="AD163" s="32">
        <f>IF(AQ163="7",BH163,0)</f>
        <v>0</v>
      </c>
      <c r="AE163" s="32">
        <f>IF(AQ163="7",BI163,0)</f>
        <v>0</v>
      </c>
      <c r="AF163" s="32">
        <f>IF(AQ163="2",BH163,0)</f>
        <v>0</v>
      </c>
      <c r="AG163" s="32">
        <f>IF(AQ163="2",BI163,0)</f>
        <v>0</v>
      </c>
      <c r="AH163" s="32">
        <f>IF(AQ163="0",BJ163,0)</f>
        <v>0</v>
      </c>
      <c r="AI163" s="28"/>
      <c r="AJ163" s="17">
        <f>IF(AN163=0,K163,0)</f>
        <v>0</v>
      </c>
      <c r="AK163" s="17">
        <f>IF(AN163=15,K163,0)</f>
        <v>0</v>
      </c>
      <c r="AL163" s="17">
        <f>IF(AN163=21,K163,0)</f>
        <v>0</v>
      </c>
      <c r="AN163" s="32">
        <v>21</v>
      </c>
      <c r="AO163" s="32">
        <f>H163*1</f>
        <v>0</v>
      </c>
      <c r="AP163" s="32">
        <f>H163*(1-1)</f>
        <v>0</v>
      </c>
      <c r="AQ163" s="29" t="s">
        <v>13</v>
      </c>
      <c r="AV163" s="32">
        <f>AW163+AX163</f>
        <v>0</v>
      </c>
      <c r="AW163" s="32">
        <f>G163*AO163</f>
        <v>0</v>
      </c>
      <c r="AX163" s="32">
        <f>G163*AP163</f>
        <v>0</v>
      </c>
      <c r="AY163" s="33" t="s">
        <v>656</v>
      </c>
      <c r="AZ163" s="33" t="s">
        <v>676</v>
      </c>
      <c r="BA163" s="28" t="s">
        <v>681</v>
      </c>
      <c r="BC163" s="32">
        <f>AW163+AX163</f>
        <v>0</v>
      </c>
      <c r="BD163" s="32">
        <f>H163/(100-BE163)*100</f>
        <v>0</v>
      </c>
      <c r="BE163" s="32">
        <v>0</v>
      </c>
      <c r="BF163" s="32">
        <f>161</f>
        <v>161</v>
      </c>
      <c r="BH163" s="17">
        <f>G163*AO163</f>
        <v>0</v>
      </c>
      <c r="BI163" s="17">
        <f>G163*AP163</f>
        <v>0</v>
      </c>
      <c r="BJ163" s="17">
        <f>G163*H163</f>
        <v>0</v>
      </c>
    </row>
    <row r="164" spans="1:62" x14ac:dyDescent="0.2">
      <c r="C164" s="58" t="s">
        <v>412</v>
      </c>
      <c r="D164" s="59"/>
      <c r="E164" s="59"/>
      <c r="G164" s="16">
        <v>843.15</v>
      </c>
    </row>
    <row r="165" spans="1:62" x14ac:dyDescent="0.2">
      <c r="A165" s="4" t="s">
        <v>50</v>
      </c>
      <c r="B165" s="4" t="s">
        <v>176</v>
      </c>
      <c r="C165" s="60" t="s">
        <v>413</v>
      </c>
      <c r="D165" s="61"/>
      <c r="E165" s="61"/>
      <c r="F165" s="4" t="s">
        <v>613</v>
      </c>
      <c r="G165" s="15">
        <v>803</v>
      </c>
      <c r="H165" s="15">
        <v>0</v>
      </c>
      <c r="I165" s="15">
        <f>G165*AO165</f>
        <v>0</v>
      </c>
      <c r="J165" s="15">
        <f>G165*AP165</f>
        <v>0</v>
      </c>
      <c r="K165" s="15">
        <f>G165*H165</f>
        <v>0</v>
      </c>
      <c r="L165" s="27" t="s">
        <v>637</v>
      </c>
      <c r="Z165" s="32">
        <f>IF(AQ165="5",BJ165,0)</f>
        <v>0</v>
      </c>
      <c r="AB165" s="32">
        <f>IF(AQ165="1",BH165,0)</f>
        <v>0</v>
      </c>
      <c r="AC165" s="32">
        <f>IF(AQ165="1",BI165,0)</f>
        <v>0</v>
      </c>
      <c r="AD165" s="32">
        <f>IF(AQ165="7",BH165,0)</f>
        <v>0</v>
      </c>
      <c r="AE165" s="32">
        <f>IF(AQ165="7",BI165,0)</f>
        <v>0</v>
      </c>
      <c r="AF165" s="32">
        <f>IF(AQ165="2",BH165,0)</f>
        <v>0</v>
      </c>
      <c r="AG165" s="32">
        <f>IF(AQ165="2",BI165,0)</f>
        <v>0</v>
      </c>
      <c r="AH165" s="32">
        <f>IF(AQ165="0",BJ165,0)</f>
        <v>0</v>
      </c>
      <c r="AI165" s="28"/>
      <c r="AJ165" s="15">
        <f>IF(AN165=0,K165,0)</f>
        <v>0</v>
      </c>
      <c r="AK165" s="15">
        <f>IF(AN165=15,K165,0)</f>
        <v>0</v>
      </c>
      <c r="AL165" s="15">
        <f>IF(AN165=21,K165,0)</f>
        <v>0</v>
      </c>
      <c r="AN165" s="32">
        <v>21</v>
      </c>
      <c r="AO165" s="32">
        <f>H165*0</f>
        <v>0</v>
      </c>
      <c r="AP165" s="32">
        <f>H165*(1-0)</f>
        <v>0</v>
      </c>
      <c r="AQ165" s="27" t="s">
        <v>13</v>
      </c>
      <c r="AV165" s="32">
        <f>AW165+AX165</f>
        <v>0</v>
      </c>
      <c r="AW165" s="32">
        <f>G165*AO165</f>
        <v>0</v>
      </c>
      <c r="AX165" s="32">
        <f>G165*AP165</f>
        <v>0</v>
      </c>
      <c r="AY165" s="33" t="s">
        <v>656</v>
      </c>
      <c r="AZ165" s="33" t="s">
        <v>676</v>
      </c>
      <c r="BA165" s="28" t="s">
        <v>681</v>
      </c>
      <c r="BC165" s="32">
        <f>AW165+AX165</f>
        <v>0</v>
      </c>
      <c r="BD165" s="32">
        <f>H165/(100-BE165)*100</f>
        <v>0</v>
      </c>
      <c r="BE165" s="32">
        <v>0</v>
      </c>
      <c r="BF165" s="32">
        <f>163</f>
        <v>163</v>
      </c>
      <c r="BH165" s="15">
        <f>G165*AO165</f>
        <v>0</v>
      </c>
      <c r="BI165" s="15">
        <f>G165*AP165</f>
        <v>0</v>
      </c>
      <c r="BJ165" s="15">
        <f>G165*H165</f>
        <v>0</v>
      </c>
    </row>
    <row r="166" spans="1:62" x14ac:dyDescent="0.2">
      <c r="C166" s="58" t="s">
        <v>733</v>
      </c>
      <c r="D166" s="59"/>
      <c r="E166" s="59"/>
      <c r="G166" s="16">
        <v>803</v>
      </c>
    </row>
    <row r="167" spans="1:62" x14ac:dyDescent="0.2">
      <c r="A167" s="6" t="s">
        <v>51</v>
      </c>
      <c r="B167" s="6" t="s">
        <v>177</v>
      </c>
      <c r="C167" s="68" t="s">
        <v>734</v>
      </c>
      <c r="D167" s="69"/>
      <c r="E167" s="69"/>
      <c r="F167" s="6" t="s">
        <v>613</v>
      </c>
      <c r="G167" s="17">
        <v>843.15</v>
      </c>
      <c r="H167" s="17">
        <v>0</v>
      </c>
      <c r="I167" s="17">
        <f>G167*AO167</f>
        <v>0</v>
      </c>
      <c r="J167" s="17">
        <f>G167*AP167</f>
        <v>0</v>
      </c>
      <c r="K167" s="17">
        <f>G167*H167</f>
        <v>0</v>
      </c>
      <c r="L167" s="29" t="s">
        <v>637</v>
      </c>
      <c r="Z167" s="32">
        <f>IF(AQ167="5",BJ167,0)</f>
        <v>0</v>
      </c>
      <c r="AB167" s="32">
        <f>IF(AQ167="1",BH167,0)</f>
        <v>0</v>
      </c>
      <c r="AC167" s="32">
        <f>IF(AQ167="1",BI167,0)</f>
        <v>0</v>
      </c>
      <c r="AD167" s="32">
        <f>IF(AQ167="7",BH167,0)</f>
        <v>0</v>
      </c>
      <c r="AE167" s="32">
        <f>IF(AQ167="7",BI167,0)</f>
        <v>0</v>
      </c>
      <c r="AF167" s="32">
        <f>IF(AQ167="2",BH167,0)</f>
        <v>0</v>
      </c>
      <c r="AG167" s="32">
        <f>IF(AQ167="2",BI167,0)</f>
        <v>0</v>
      </c>
      <c r="AH167" s="32">
        <f>IF(AQ167="0",BJ167,0)</f>
        <v>0</v>
      </c>
      <c r="AI167" s="28"/>
      <c r="AJ167" s="17">
        <f>IF(AN167=0,K167,0)</f>
        <v>0</v>
      </c>
      <c r="AK167" s="17">
        <f>IF(AN167=15,K167,0)</f>
        <v>0</v>
      </c>
      <c r="AL167" s="17">
        <f>IF(AN167=21,K167,0)</f>
        <v>0</v>
      </c>
      <c r="AN167" s="32">
        <v>21</v>
      </c>
      <c r="AO167" s="32">
        <f>H167*1</f>
        <v>0</v>
      </c>
      <c r="AP167" s="32">
        <f>H167*(1-1)</f>
        <v>0</v>
      </c>
      <c r="AQ167" s="29" t="s">
        <v>13</v>
      </c>
      <c r="AV167" s="32">
        <f>AW167+AX167</f>
        <v>0</v>
      </c>
      <c r="AW167" s="32">
        <f>G167*AO167</f>
        <v>0</v>
      </c>
      <c r="AX167" s="32">
        <f>G167*AP167</f>
        <v>0</v>
      </c>
      <c r="AY167" s="33" t="s">
        <v>656</v>
      </c>
      <c r="AZ167" s="33" t="s">
        <v>676</v>
      </c>
      <c r="BA167" s="28" t="s">
        <v>681</v>
      </c>
      <c r="BC167" s="32">
        <f>AW167+AX167</f>
        <v>0</v>
      </c>
      <c r="BD167" s="32">
        <f>H167/(100-BE167)*100</f>
        <v>0</v>
      </c>
      <c r="BE167" s="32">
        <v>0</v>
      </c>
      <c r="BF167" s="32">
        <f>165</f>
        <v>165</v>
      </c>
      <c r="BH167" s="17">
        <f>G167*AO167</f>
        <v>0</v>
      </c>
      <c r="BI167" s="17">
        <f>G167*AP167</f>
        <v>0</v>
      </c>
      <c r="BJ167" s="17">
        <f>G167*H167</f>
        <v>0</v>
      </c>
    </row>
    <row r="168" spans="1:62" x14ac:dyDescent="0.2">
      <c r="C168" s="58" t="s">
        <v>412</v>
      </c>
      <c r="D168" s="59"/>
      <c r="E168" s="59"/>
      <c r="G168" s="16">
        <v>843.15</v>
      </c>
    </row>
    <row r="169" spans="1:62" x14ac:dyDescent="0.2">
      <c r="A169" s="4" t="s">
        <v>52</v>
      </c>
      <c r="B169" s="4" t="s">
        <v>178</v>
      </c>
      <c r="C169" s="60" t="s">
        <v>414</v>
      </c>
      <c r="D169" s="61"/>
      <c r="E169" s="61"/>
      <c r="F169" s="4" t="s">
        <v>613</v>
      </c>
      <c r="G169" s="15">
        <v>803</v>
      </c>
      <c r="H169" s="15">
        <v>0</v>
      </c>
      <c r="I169" s="15">
        <f>G169*AO169</f>
        <v>0</v>
      </c>
      <c r="J169" s="15">
        <f>G169*AP169</f>
        <v>0</v>
      </c>
      <c r="K169" s="15">
        <f>G169*H169</f>
        <v>0</v>
      </c>
      <c r="L169" s="27" t="s">
        <v>637</v>
      </c>
      <c r="Z169" s="32">
        <f>IF(AQ169="5",BJ169,0)</f>
        <v>0</v>
      </c>
      <c r="AB169" s="32">
        <f>IF(AQ169="1",BH169,0)</f>
        <v>0</v>
      </c>
      <c r="AC169" s="32">
        <f>IF(AQ169="1",BI169,0)</f>
        <v>0</v>
      </c>
      <c r="AD169" s="32">
        <f>IF(AQ169="7",BH169,0)</f>
        <v>0</v>
      </c>
      <c r="AE169" s="32">
        <f>IF(AQ169="7",BI169,0)</f>
        <v>0</v>
      </c>
      <c r="AF169" s="32">
        <f>IF(AQ169="2",BH169,0)</f>
        <v>0</v>
      </c>
      <c r="AG169" s="32">
        <f>IF(AQ169="2",BI169,0)</f>
        <v>0</v>
      </c>
      <c r="AH169" s="32">
        <f>IF(AQ169="0",BJ169,0)</f>
        <v>0</v>
      </c>
      <c r="AI169" s="28"/>
      <c r="AJ169" s="15">
        <f>IF(AN169=0,K169,0)</f>
        <v>0</v>
      </c>
      <c r="AK169" s="15">
        <f>IF(AN169=15,K169,0)</f>
        <v>0</v>
      </c>
      <c r="AL169" s="15">
        <f>IF(AN169=21,K169,0)</f>
        <v>0</v>
      </c>
      <c r="AN169" s="32">
        <v>21</v>
      </c>
      <c r="AO169" s="32">
        <f>H169*0</f>
        <v>0</v>
      </c>
      <c r="AP169" s="32">
        <f>H169*(1-0)</f>
        <v>0</v>
      </c>
      <c r="AQ169" s="27" t="s">
        <v>13</v>
      </c>
      <c r="AV169" s="32">
        <f>AW169+AX169</f>
        <v>0</v>
      </c>
      <c r="AW169" s="32">
        <f>G169*AO169</f>
        <v>0</v>
      </c>
      <c r="AX169" s="32">
        <f>G169*AP169</f>
        <v>0</v>
      </c>
      <c r="AY169" s="33" t="s">
        <v>656</v>
      </c>
      <c r="AZ169" s="33" t="s">
        <v>676</v>
      </c>
      <c r="BA169" s="28" t="s">
        <v>681</v>
      </c>
      <c r="BC169" s="32">
        <f>AW169+AX169</f>
        <v>0</v>
      </c>
      <c r="BD169" s="32">
        <f>H169/(100-BE169)*100</f>
        <v>0</v>
      </c>
      <c r="BE169" s="32">
        <v>0</v>
      </c>
      <c r="BF169" s="32">
        <f>167</f>
        <v>167</v>
      </c>
      <c r="BH169" s="15">
        <f>G169*AO169</f>
        <v>0</v>
      </c>
      <c r="BI169" s="15">
        <f>G169*AP169</f>
        <v>0</v>
      </c>
      <c r="BJ169" s="15">
        <f>G169*H169</f>
        <v>0</v>
      </c>
    </row>
    <row r="170" spans="1:62" x14ac:dyDescent="0.2">
      <c r="C170" s="58" t="s">
        <v>411</v>
      </c>
      <c r="D170" s="59"/>
      <c r="E170" s="59"/>
      <c r="G170" s="16">
        <v>803</v>
      </c>
    </row>
    <row r="171" spans="1:62" x14ac:dyDescent="0.2">
      <c r="A171" s="6" t="s">
        <v>53</v>
      </c>
      <c r="B171" s="6" t="s">
        <v>179</v>
      </c>
      <c r="C171" s="68" t="s">
        <v>735</v>
      </c>
      <c r="D171" s="69"/>
      <c r="E171" s="69"/>
      <c r="F171" s="6" t="s">
        <v>613</v>
      </c>
      <c r="G171" s="17">
        <v>843.15</v>
      </c>
      <c r="H171" s="17">
        <v>0</v>
      </c>
      <c r="I171" s="17">
        <f>G171*AO171</f>
        <v>0</v>
      </c>
      <c r="J171" s="17">
        <f>G171*AP171</f>
        <v>0</v>
      </c>
      <c r="K171" s="17">
        <f>G171*H171</f>
        <v>0</v>
      </c>
      <c r="L171" s="29" t="s">
        <v>637</v>
      </c>
      <c r="Z171" s="32">
        <f>IF(AQ171="5",BJ171,0)</f>
        <v>0</v>
      </c>
      <c r="AB171" s="32">
        <f>IF(AQ171="1",BH171,0)</f>
        <v>0</v>
      </c>
      <c r="AC171" s="32">
        <f>IF(AQ171="1",BI171,0)</f>
        <v>0</v>
      </c>
      <c r="AD171" s="32">
        <f>IF(AQ171="7",BH171,0)</f>
        <v>0</v>
      </c>
      <c r="AE171" s="32">
        <f>IF(AQ171="7",BI171,0)</f>
        <v>0</v>
      </c>
      <c r="AF171" s="32">
        <f>IF(AQ171="2",BH171,0)</f>
        <v>0</v>
      </c>
      <c r="AG171" s="32">
        <f>IF(AQ171="2",BI171,0)</f>
        <v>0</v>
      </c>
      <c r="AH171" s="32">
        <f>IF(AQ171="0",BJ171,0)</f>
        <v>0</v>
      </c>
      <c r="AI171" s="28"/>
      <c r="AJ171" s="17">
        <f>IF(AN171=0,K171,0)</f>
        <v>0</v>
      </c>
      <c r="AK171" s="17">
        <f>IF(AN171=15,K171,0)</f>
        <v>0</v>
      </c>
      <c r="AL171" s="17">
        <f>IF(AN171=21,K171,0)</f>
        <v>0</v>
      </c>
      <c r="AN171" s="32">
        <v>21</v>
      </c>
      <c r="AO171" s="32">
        <f>H171*1</f>
        <v>0</v>
      </c>
      <c r="AP171" s="32">
        <f>H171*(1-1)</f>
        <v>0</v>
      </c>
      <c r="AQ171" s="29" t="s">
        <v>13</v>
      </c>
      <c r="AV171" s="32">
        <f>AW171+AX171</f>
        <v>0</v>
      </c>
      <c r="AW171" s="32">
        <f>G171*AO171</f>
        <v>0</v>
      </c>
      <c r="AX171" s="32">
        <f>G171*AP171</f>
        <v>0</v>
      </c>
      <c r="AY171" s="33" t="s">
        <v>656</v>
      </c>
      <c r="AZ171" s="33" t="s">
        <v>676</v>
      </c>
      <c r="BA171" s="28" t="s">
        <v>681</v>
      </c>
      <c r="BC171" s="32">
        <f>AW171+AX171</f>
        <v>0</v>
      </c>
      <c r="BD171" s="32">
        <f>H171/(100-BE171)*100</f>
        <v>0</v>
      </c>
      <c r="BE171" s="32">
        <v>0</v>
      </c>
      <c r="BF171" s="32">
        <f>169</f>
        <v>169</v>
      </c>
      <c r="BH171" s="17">
        <f>G171*AO171</f>
        <v>0</v>
      </c>
      <c r="BI171" s="17">
        <f>G171*AP171</f>
        <v>0</v>
      </c>
      <c r="BJ171" s="17">
        <f>G171*H171</f>
        <v>0</v>
      </c>
    </row>
    <row r="172" spans="1:62" x14ac:dyDescent="0.2">
      <c r="C172" s="58" t="s">
        <v>412</v>
      </c>
      <c r="D172" s="59"/>
      <c r="E172" s="59"/>
      <c r="G172" s="16">
        <v>843.15</v>
      </c>
    </row>
    <row r="173" spans="1:62" x14ac:dyDescent="0.2">
      <c r="A173" s="4" t="s">
        <v>54</v>
      </c>
      <c r="B173" s="4" t="s">
        <v>180</v>
      </c>
      <c r="C173" s="60" t="s">
        <v>415</v>
      </c>
      <c r="D173" s="61"/>
      <c r="E173" s="61"/>
      <c r="F173" s="4" t="s">
        <v>618</v>
      </c>
      <c r="G173" s="15">
        <v>5.3709600000000002</v>
      </c>
      <c r="H173" s="15">
        <v>0</v>
      </c>
      <c r="I173" s="15">
        <f>G173*AO173</f>
        <v>0</v>
      </c>
      <c r="J173" s="15">
        <f>G173*AP173</f>
        <v>0</v>
      </c>
      <c r="K173" s="15">
        <f>G173*H173</f>
        <v>0</v>
      </c>
      <c r="L173" s="27" t="s">
        <v>636</v>
      </c>
      <c r="Z173" s="32">
        <f>IF(AQ173="5",BJ173,0)</f>
        <v>0</v>
      </c>
      <c r="AB173" s="32">
        <f>IF(AQ173="1",BH173,0)</f>
        <v>0</v>
      </c>
      <c r="AC173" s="32">
        <f>IF(AQ173="1",BI173,0)</f>
        <v>0</v>
      </c>
      <c r="AD173" s="32">
        <f>IF(AQ173="7",BH173,0)</f>
        <v>0</v>
      </c>
      <c r="AE173" s="32">
        <f>IF(AQ173="7",BI173,0)</f>
        <v>0</v>
      </c>
      <c r="AF173" s="32">
        <f>IF(AQ173="2",BH173,0)</f>
        <v>0</v>
      </c>
      <c r="AG173" s="32">
        <f>IF(AQ173="2",BI173,0)</f>
        <v>0</v>
      </c>
      <c r="AH173" s="32">
        <f>IF(AQ173="0",BJ173,0)</f>
        <v>0</v>
      </c>
      <c r="AI173" s="28"/>
      <c r="AJ173" s="15">
        <f>IF(AN173=0,K173,0)</f>
        <v>0</v>
      </c>
      <c r="AK173" s="15">
        <f>IF(AN173=15,K173,0)</f>
        <v>0</v>
      </c>
      <c r="AL173" s="15">
        <f>IF(AN173=21,K173,0)</f>
        <v>0</v>
      </c>
      <c r="AN173" s="32">
        <v>21</v>
      </c>
      <c r="AO173" s="32">
        <f>H173*0</f>
        <v>0</v>
      </c>
      <c r="AP173" s="32">
        <f>H173*(1-0)</f>
        <v>0</v>
      </c>
      <c r="AQ173" s="27" t="s">
        <v>11</v>
      </c>
      <c r="AV173" s="32">
        <f>AW173+AX173</f>
        <v>0</v>
      </c>
      <c r="AW173" s="32">
        <f>G173*AO173</f>
        <v>0</v>
      </c>
      <c r="AX173" s="32">
        <f>G173*AP173</f>
        <v>0</v>
      </c>
      <c r="AY173" s="33" t="s">
        <v>656</v>
      </c>
      <c r="AZ173" s="33" t="s">
        <v>676</v>
      </c>
      <c r="BA173" s="28" t="s">
        <v>681</v>
      </c>
      <c r="BC173" s="32">
        <f>AW173+AX173</f>
        <v>0</v>
      </c>
      <c r="BD173" s="32">
        <f>H173/(100-BE173)*100</f>
        <v>0</v>
      </c>
      <c r="BE173" s="32">
        <v>0</v>
      </c>
      <c r="BF173" s="32">
        <f>171</f>
        <v>171</v>
      </c>
      <c r="BH173" s="15">
        <f>G173*AO173</f>
        <v>0</v>
      </c>
      <c r="BI173" s="15">
        <f>G173*AP173</f>
        <v>0</v>
      </c>
      <c r="BJ173" s="15">
        <f>G173*H173</f>
        <v>0</v>
      </c>
    </row>
    <row r="174" spans="1:62" x14ac:dyDescent="0.2">
      <c r="C174" s="58" t="s">
        <v>416</v>
      </c>
      <c r="D174" s="59"/>
      <c r="E174" s="59"/>
      <c r="G174" s="16">
        <v>5.3709600000000002</v>
      </c>
    </row>
    <row r="175" spans="1:62" x14ac:dyDescent="0.2">
      <c r="A175" s="5"/>
      <c r="B175" s="13" t="s">
        <v>181</v>
      </c>
      <c r="C175" s="66" t="s">
        <v>417</v>
      </c>
      <c r="D175" s="67"/>
      <c r="E175" s="67"/>
      <c r="F175" s="5" t="s">
        <v>6</v>
      </c>
      <c r="G175" s="5" t="s">
        <v>6</v>
      </c>
      <c r="H175" s="5" t="s">
        <v>6</v>
      </c>
      <c r="I175" s="35">
        <f>SUM(I176:I185)</f>
        <v>0</v>
      </c>
      <c r="J175" s="35">
        <f>SUM(J176:J185)</f>
        <v>0</v>
      </c>
      <c r="K175" s="35">
        <f>SUM(K176:K185)</f>
        <v>0</v>
      </c>
      <c r="L175" s="28"/>
      <c r="AI175" s="28"/>
      <c r="AS175" s="35">
        <f>SUM(AJ176:AJ185)</f>
        <v>0</v>
      </c>
      <c r="AT175" s="35">
        <f>SUM(AK176:AK185)</f>
        <v>0</v>
      </c>
      <c r="AU175" s="35">
        <f>SUM(AL176:AL185)</f>
        <v>0</v>
      </c>
    </row>
    <row r="176" spans="1:62" x14ac:dyDescent="0.2">
      <c r="A176" s="4" t="s">
        <v>55</v>
      </c>
      <c r="B176" s="4" t="s">
        <v>182</v>
      </c>
      <c r="C176" s="60" t="s">
        <v>418</v>
      </c>
      <c r="D176" s="61"/>
      <c r="E176" s="61"/>
      <c r="F176" s="4" t="s">
        <v>613</v>
      </c>
      <c r="G176" s="15">
        <v>775</v>
      </c>
      <c r="H176" s="15">
        <v>0</v>
      </c>
      <c r="I176" s="15">
        <f>G176*AO176</f>
        <v>0</v>
      </c>
      <c r="J176" s="15">
        <f>G176*AP176</f>
        <v>0</v>
      </c>
      <c r="K176" s="15">
        <f>G176*H176</f>
        <v>0</v>
      </c>
      <c r="L176" s="27" t="s">
        <v>637</v>
      </c>
      <c r="Z176" s="32">
        <f>IF(AQ176="5",BJ176,0)</f>
        <v>0</v>
      </c>
      <c r="AB176" s="32">
        <f>IF(AQ176="1",BH176,0)</f>
        <v>0</v>
      </c>
      <c r="AC176" s="32">
        <f>IF(AQ176="1",BI176,0)</f>
        <v>0</v>
      </c>
      <c r="AD176" s="32">
        <f>IF(AQ176="7",BH176,0)</f>
        <v>0</v>
      </c>
      <c r="AE176" s="32">
        <f>IF(AQ176="7",BI176,0)</f>
        <v>0</v>
      </c>
      <c r="AF176" s="32">
        <f>IF(AQ176="2",BH176,0)</f>
        <v>0</v>
      </c>
      <c r="AG176" s="32">
        <f>IF(AQ176="2",BI176,0)</f>
        <v>0</v>
      </c>
      <c r="AH176" s="32">
        <f>IF(AQ176="0",BJ176,0)</f>
        <v>0</v>
      </c>
      <c r="AI176" s="28"/>
      <c r="AJ176" s="15">
        <f>IF(AN176=0,K176,0)</f>
        <v>0</v>
      </c>
      <c r="AK176" s="15">
        <f>IF(AN176=15,K176,0)</f>
        <v>0</v>
      </c>
      <c r="AL176" s="15">
        <f>IF(AN176=21,K176,0)</f>
        <v>0</v>
      </c>
      <c r="AN176" s="32">
        <v>21</v>
      </c>
      <c r="AO176" s="32">
        <f>H176*0</f>
        <v>0</v>
      </c>
      <c r="AP176" s="32">
        <f>H176*(1-0)</f>
        <v>0</v>
      </c>
      <c r="AQ176" s="27" t="s">
        <v>13</v>
      </c>
      <c r="AV176" s="32">
        <f>AW176+AX176</f>
        <v>0</v>
      </c>
      <c r="AW176" s="32">
        <f>G176*AO176</f>
        <v>0</v>
      </c>
      <c r="AX176" s="32">
        <f>G176*AP176</f>
        <v>0</v>
      </c>
      <c r="AY176" s="33" t="s">
        <v>657</v>
      </c>
      <c r="AZ176" s="33" t="s">
        <v>676</v>
      </c>
      <c r="BA176" s="28" t="s">
        <v>681</v>
      </c>
      <c r="BC176" s="32">
        <f>AW176+AX176</f>
        <v>0</v>
      </c>
      <c r="BD176" s="32">
        <f>H176/(100-BE176)*100</f>
        <v>0</v>
      </c>
      <c r="BE176" s="32">
        <v>0</v>
      </c>
      <c r="BF176" s="32">
        <f>174</f>
        <v>174</v>
      </c>
      <c r="BH176" s="15">
        <f>G176*AO176</f>
        <v>0</v>
      </c>
      <c r="BI176" s="15">
        <f>G176*AP176</f>
        <v>0</v>
      </c>
      <c r="BJ176" s="15">
        <f>G176*H176</f>
        <v>0</v>
      </c>
    </row>
    <row r="177" spans="1:62" x14ac:dyDescent="0.2">
      <c r="C177" s="58" t="s">
        <v>397</v>
      </c>
      <c r="D177" s="59"/>
      <c r="E177" s="59"/>
      <c r="G177" s="16">
        <v>775</v>
      </c>
    </row>
    <row r="178" spans="1:62" x14ac:dyDescent="0.2">
      <c r="A178" s="4" t="s">
        <v>56</v>
      </c>
      <c r="B178" s="4" t="s">
        <v>183</v>
      </c>
      <c r="C178" s="60" t="s">
        <v>419</v>
      </c>
      <c r="D178" s="61"/>
      <c r="E178" s="61"/>
      <c r="F178" s="4" t="s">
        <v>613</v>
      </c>
      <c r="G178" s="15">
        <v>803</v>
      </c>
      <c r="H178" s="15">
        <v>0</v>
      </c>
      <c r="I178" s="15">
        <f>G178*AO178</f>
        <v>0</v>
      </c>
      <c r="J178" s="15">
        <f>G178*AP178</f>
        <v>0</v>
      </c>
      <c r="K178" s="15">
        <f>G178*H178</f>
        <v>0</v>
      </c>
      <c r="L178" s="27" t="s">
        <v>636</v>
      </c>
      <c r="Z178" s="32">
        <f>IF(AQ178="5",BJ178,0)</f>
        <v>0</v>
      </c>
      <c r="AB178" s="32">
        <f>IF(AQ178="1",BH178,0)</f>
        <v>0</v>
      </c>
      <c r="AC178" s="32">
        <f>IF(AQ178="1",BI178,0)</f>
        <v>0</v>
      </c>
      <c r="AD178" s="32">
        <f>IF(AQ178="7",BH178,0)</f>
        <v>0</v>
      </c>
      <c r="AE178" s="32">
        <f>IF(AQ178="7",BI178,0)</f>
        <v>0</v>
      </c>
      <c r="AF178" s="32">
        <f>IF(AQ178="2",BH178,0)</f>
        <v>0</v>
      </c>
      <c r="AG178" s="32">
        <f>IF(AQ178="2",BI178,0)</f>
        <v>0</v>
      </c>
      <c r="AH178" s="32">
        <f>IF(AQ178="0",BJ178,0)</f>
        <v>0</v>
      </c>
      <c r="AI178" s="28"/>
      <c r="AJ178" s="15">
        <f>IF(AN178=0,K178,0)</f>
        <v>0</v>
      </c>
      <c r="AK178" s="15">
        <f>IF(AN178=15,K178,0)</f>
        <v>0</v>
      </c>
      <c r="AL178" s="15">
        <f>IF(AN178=21,K178,0)</f>
        <v>0</v>
      </c>
      <c r="AN178" s="32">
        <v>21</v>
      </c>
      <c r="AO178" s="32">
        <f>H178*0.269121338912134</f>
        <v>0</v>
      </c>
      <c r="AP178" s="32">
        <f>H178*(1-0.269121338912134)</f>
        <v>0</v>
      </c>
      <c r="AQ178" s="27" t="s">
        <v>13</v>
      </c>
      <c r="AV178" s="32">
        <f>AW178+AX178</f>
        <v>0</v>
      </c>
      <c r="AW178" s="32">
        <f>G178*AO178</f>
        <v>0</v>
      </c>
      <c r="AX178" s="32">
        <f>G178*AP178</f>
        <v>0</v>
      </c>
      <c r="AY178" s="33" t="s">
        <v>657</v>
      </c>
      <c r="AZ178" s="33" t="s">
        <v>676</v>
      </c>
      <c r="BA178" s="28" t="s">
        <v>681</v>
      </c>
      <c r="BC178" s="32">
        <f>AW178+AX178</f>
        <v>0</v>
      </c>
      <c r="BD178" s="32">
        <f>H178/(100-BE178)*100</f>
        <v>0</v>
      </c>
      <c r="BE178" s="32">
        <v>0</v>
      </c>
      <c r="BF178" s="32">
        <f>176</f>
        <v>176</v>
      </c>
      <c r="BH178" s="15">
        <f>G178*AO178</f>
        <v>0</v>
      </c>
      <c r="BI178" s="15">
        <f>G178*AP178</f>
        <v>0</v>
      </c>
      <c r="BJ178" s="15">
        <f>G178*H178</f>
        <v>0</v>
      </c>
    </row>
    <row r="179" spans="1:62" x14ac:dyDescent="0.2">
      <c r="C179" s="58" t="s">
        <v>420</v>
      </c>
      <c r="D179" s="59"/>
      <c r="E179" s="59"/>
      <c r="G179" s="16">
        <v>775</v>
      </c>
    </row>
    <row r="180" spans="1:62" x14ac:dyDescent="0.2">
      <c r="C180" s="58" t="s">
        <v>421</v>
      </c>
      <c r="D180" s="59"/>
      <c r="E180" s="59"/>
      <c r="G180" s="16">
        <v>28</v>
      </c>
    </row>
    <row r="181" spans="1:62" x14ac:dyDescent="0.2">
      <c r="A181" s="6" t="s">
        <v>57</v>
      </c>
      <c r="B181" s="6" t="s">
        <v>184</v>
      </c>
      <c r="C181" s="68" t="s">
        <v>422</v>
      </c>
      <c r="D181" s="69"/>
      <c r="E181" s="69"/>
      <c r="F181" s="6" t="s">
        <v>614</v>
      </c>
      <c r="G181" s="17">
        <v>190.86959999999999</v>
      </c>
      <c r="H181" s="17">
        <v>0</v>
      </c>
      <c r="I181" s="17">
        <f>G181*AO181</f>
        <v>0</v>
      </c>
      <c r="J181" s="17">
        <f>G181*AP181</f>
        <v>0</v>
      </c>
      <c r="K181" s="17">
        <f>G181*H181</f>
        <v>0</v>
      </c>
      <c r="L181" s="29" t="s">
        <v>636</v>
      </c>
      <c r="Z181" s="32">
        <f>IF(AQ181="5",BJ181,0)</f>
        <v>0</v>
      </c>
      <c r="AB181" s="32">
        <f>IF(AQ181="1",BH181,0)</f>
        <v>0</v>
      </c>
      <c r="AC181" s="32">
        <f>IF(AQ181="1",BI181,0)</f>
        <v>0</v>
      </c>
      <c r="AD181" s="32">
        <f>IF(AQ181="7",BH181,0)</f>
        <v>0</v>
      </c>
      <c r="AE181" s="32">
        <f>IF(AQ181="7",BI181,0)</f>
        <v>0</v>
      </c>
      <c r="AF181" s="32">
        <f>IF(AQ181="2",BH181,0)</f>
        <v>0</v>
      </c>
      <c r="AG181" s="32">
        <f>IF(AQ181="2",BI181,0)</f>
        <v>0</v>
      </c>
      <c r="AH181" s="32">
        <f>IF(AQ181="0",BJ181,0)</f>
        <v>0</v>
      </c>
      <c r="AI181" s="28"/>
      <c r="AJ181" s="17">
        <f>IF(AN181=0,K181,0)</f>
        <v>0</v>
      </c>
      <c r="AK181" s="17">
        <f>IF(AN181=15,K181,0)</f>
        <v>0</v>
      </c>
      <c r="AL181" s="17">
        <f>IF(AN181=21,K181,0)</f>
        <v>0</v>
      </c>
      <c r="AN181" s="32">
        <v>21</v>
      </c>
      <c r="AO181" s="32">
        <f>H181*1</f>
        <v>0</v>
      </c>
      <c r="AP181" s="32">
        <f>H181*(1-1)</f>
        <v>0</v>
      </c>
      <c r="AQ181" s="29" t="s">
        <v>13</v>
      </c>
      <c r="AV181" s="32">
        <f>AW181+AX181</f>
        <v>0</v>
      </c>
      <c r="AW181" s="32">
        <f>G181*AO181</f>
        <v>0</v>
      </c>
      <c r="AX181" s="32">
        <f>G181*AP181</f>
        <v>0</v>
      </c>
      <c r="AY181" s="33" t="s">
        <v>657</v>
      </c>
      <c r="AZ181" s="33" t="s">
        <v>676</v>
      </c>
      <c r="BA181" s="28" t="s">
        <v>681</v>
      </c>
      <c r="BC181" s="32">
        <f>AW181+AX181</f>
        <v>0</v>
      </c>
      <c r="BD181" s="32">
        <f>H181/(100-BE181)*100</f>
        <v>0</v>
      </c>
      <c r="BE181" s="32">
        <v>0</v>
      </c>
      <c r="BF181" s="32">
        <f>179</f>
        <v>179</v>
      </c>
      <c r="BH181" s="17">
        <f>G181*AO181</f>
        <v>0</v>
      </c>
      <c r="BI181" s="17">
        <f>G181*AP181</f>
        <v>0</v>
      </c>
      <c r="BJ181" s="17">
        <f>G181*H181</f>
        <v>0</v>
      </c>
    </row>
    <row r="182" spans="1:62" x14ac:dyDescent="0.2">
      <c r="C182" s="58" t="s">
        <v>423</v>
      </c>
      <c r="D182" s="59"/>
      <c r="E182" s="59"/>
      <c r="G182" s="16">
        <v>186</v>
      </c>
    </row>
    <row r="183" spans="1:62" x14ac:dyDescent="0.2">
      <c r="C183" s="58" t="s">
        <v>424</v>
      </c>
      <c r="D183" s="59"/>
      <c r="E183" s="59"/>
      <c r="G183" s="16">
        <v>4.4800000000000004</v>
      </c>
    </row>
    <row r="184" spans="1:62" x14ac:dyDescent="0.2">
      <c r="C184" s="58" t="s">
        <v>425</v>
      </c>
      <c r="D184" s="59"/>
      <c r="E184" s="59"/>
      <c r="G184" s="16">
        <v>0.3896</v>
      </c>
    </row>
    <row r="185" spans="1:62" x14ac:dyDescent="0.2">
      <c r="A185" s="4" t="s">
        <v>58</v>
      </c>
      <c r="B185" s="4" t="s">
        <v>185</v>
      </c>
      <c r="C185" s="60" t="s">
        <v>426</v>
      </c>
      <c r="D185" s="61"/>
      <c r="E185" s="61"/>
      <c r="F185" s="4" t="s">
        <v>618</v>
      </c>
      <c r="G185" s="15">
        <v>5.7260900000000001</v>
      </c>
      <c r="H185" s="15">
        <v>0</v>
      </c>
      <c r="I185" s="15">
        <f>G185*AO185</f>
        <v>0</v>
      </c>
      <c r="J185" s="15">
        <f>G185*AP185</f>
        <v>0</v>
      </c>
      <c r="K185" s="15">
        <f>G185*H185</f>
        <v>0</v>
      </c>
      <c r="L185" s="27" t="s">
        <v>636</v>
      </c>
      <c r="Z185" s="32">
        <f>IF(AQ185="5",BJ185,0)</f>
        <v>0</v>
      </c>
      <c r="AB185" s="32">
        <f>IF(AQ185="1",BH185,0)</f>
        <v>0</v>
      </c>
      <c r="AC185" s="32">
        <f>IF(AQ185="1",BI185,0)</f>
        <v>0</v>
      </c>
      <c r="AD185" s="32">
        <f>IF(AQ185="7",BH185,0)</f>
        <v>0</v>
      </c>
      <c r="AE185" s="32">
        <f>IF(AQ185="7",BI185,0)</f>
        <v>0</v>
      </c>
      <c r="AF185" s="32">
        <f>IF(AQ185="2",BH185,0)</f>
        <v>0</v>
      </c>
      <c r="AG185" s="32">
        <f>IF(AQ185="2",BI185,0)</f>
        <v>0</v>
      </c>
      <c r="AH185" s="32">
        <f>IF(AQ185="0",BJ185,0)</f>
        <v>0</v>
      </c>
      <c r="AI185" s="28"/>
      <c r="AJ185" s="15">
        <f>IF(AN185=0,K185,0)</f>
        <v>0</v>
      </c>
      <c r="AK185" s="15">
        <f>IF(AN185=15,K185,0)</f>
        <v>0</v>
      </c>
      <c r="AL185" s="15">
        <f>IF(AN185=21,K185,0)</f>
        <v>0</v>
      </c>
      <c r="AN185" s="32">
        <v>21</v>
      </c>
      <c r="AO185" s="32">
        <f>H185*0</f>
        <v>0</v>
      </c>
      <c r="AP185" s="32">
        <f>H185*(1-0)</f>
        <v>0</v>
      </c>
      <c r="AQ185" s="27" t="s">
        <v>11</v>
      </c>
      <c r="AV185" s="32">
        <f>AW185+AX185</f>
        <v>0</v>
      </c>
      <c r="AW185" s="32">
        <f>G185*AO185</f>
        <v>0</v>
      </c>
      <c r="AX185" s="32">
        <f>G185*AP185</f>
        <v>0</v>
      </c>
      <c r="AY185" s="33" t="s">
        <v>657</v>
      </c>
      <c r="AZ185" s="33" t="s">
        <v>676</v>
      </c>
      <c r="BA185" s="28" t="s">
        <v>681</v>
      </c>
      <c r="BC185" s="32">
        <f>AW185+AX185</f>
        <v>0</v>
      </c>
      <c r="BD185" s="32">
        <f>H185/(100-BE185)*100</f>
        <v>0</v>
      </c>
      <c r="BE185" s="32">
        <v>0</v>
      </c>
      <c r="BF185" s="32">
        <f>183</f>
        <v>183</v>
      </c>
      <c r="BH185" s="15">
        <f>G185*AO185</f>
        <v>0</v>
      </c>
      <c r="BI185" s="15">
        <f>G185*AP185</f>
        <v>0</v>
      </c>
      <c r="BJ185" s="15">
        <f>G185*H185</f>
        <v>0</v>
      </c>
    </row>
    <row r="186" spans="1:62" x14ac:dyDescent="0.2">
      <c r="C186" s="58" t="s">
        <v>427</v>
      </c>
      <c r="D186" s="59"/>
      <c r="E186" s="59"/>
      <c r="G186" s="16">
        <v>5.7260900000000001</v>
      </c>
    </row>
    <row r="187" spans="1:62" x14ac:dyDescent="0.2">
      <c r="A187" s="5"/>
      <c r="B187" s="13" t="s">
        <v>186</v>
      </c>
      <c r="C187" s="66" t="s">
        <v>428</v>
      </c>
      <c r="D187" s="67"/>
      <c r="E187" s="67"/>
      <c r="F187" s="5" t="s">
        <v>6</v>
      </c>
      <c r="G187" s="5" t="s">
        <v>6</v>
      </c>
      <c r="H187" s="5" t="s">
        <v>6</v>
      </c>
      <c r="I187" s="35">
        <f>SUM(I188:I188)</f>
        <v>0</v>
      </c>
      <c r="J187" s="35">
        <f>SUM(J188:J188)</f>
        <v>0</v>
      </c>
      <c r="K187" s="35">
        <f>SUM(K188:K188)</f>
        <v>0</v>
      </c>
      <c r="L187" s="28"/>
      <c r="AI187" s="28"/>
      <c r="AS187" s="35">
        <f>SUM(AJ188:AJ188)</f>
        <v>0</v>
      </c>
      <c r="AT187" s="35">
        <f>SUM(AK188:AK188)</f>
        <v>0</v>
      </c>
      <c r="AU187" s="35">
        <f>SUM(AL188:AL188)</f>
        <v>0</v>
      </c>
    </row>
    <row r="188" spans="1:62" x14ac:dyDescent="0.2">
      <c r="A188" s="4" t="s">
        <v>59</v>
      </c>
      <c r="B188" s="4" t="s">
        <v>187</v>
      </c>
      <c r="C188" s="60" t="s">
        <v>429</v>
      </c>
      <c r="D188" s="61"/>
      <c r="E188" s="61"/>
      <c r="F188" s="4" t="s">
        <v>617</v>
      </c>
      <c r="G188" s="15">
        <v>2</v>
      </c>
      <c r="H188" s="15">
        <v>0</v>
      </c>
      <c r="I188" s="15">
        <f>G188*AO188</f>
        <v>0</v>
      </c>
      <c r="J188" s="15">
        <f>G188*AP188</f>
        <v>0</v>
      </c>
      <c r="K188" s="15">
        <f>G188*H188</f>
        <v>0</v>
      </c>
      <c r="L188" s="27" t="s">
        <v>636</v>
      </c>
      <c r="Z188" s="32">
        <f>IF(AQ188="5",BJ188,0)</f>
        <v>0</v>
      </c>
      <c r="AB188" s="32">
        <f>IF(AQ188="1",BH188,0)</f>
        <v>0</v>
      </c>
      <c r="AC188" s="32">
        <f>IF(AQ188="1",BI188,0)</f>
        <v>0</v>
      </c>
      <c r="AD188" s="32">
        <f>IF(AQ188="7",BH188,0)</f>
        <v>0</v>
      </c>
      <c r="AE188" s="32">
        <f>IF(AQ188="7",BI188,0)</f>
        <v>0</v>
      </c>
      <c r="AF188" s="32">
        <f>IF(AQ188="2",BH188,0)</f>
        <v>0</v>
      </c>
      <c r="AG188" s="32">
        <f>IF(AQ188="2",BI188,0)</f>
        <v>0</v>
      </c>
      <c r="AH188" s="32">
        <f>IF(AQ188="0",BJ188,0)</f>
        <v>0</v>
      </c>
      <c r="AI188" s="28"/>
      <c r="AJ188" s="15">
        <f>IF(AN188=0,K188,0)</f>
        <v>0</v>
      </c>
      <c r="AK188" s="15">
        <f>IF(AN188=15,K188,0)</f>
        <v>0</v>
      </c>
      <c r="AL188" s="15">
        <f>IF(AN188=21,K188,0)</f>
        <v>0</v>
      </c>
      <c r="AN188" s="32">
        <v>21</v>
      </c>
      <c r="AO188" s="32">
        <f>H188*0</f>
        <v>0</v>
      </c>
      <c r="AP188" s="32">
        <f>H188*(1-0)</f>
        <v>0</v>
      </c>
      <c r="AQ188" s="27" t="s">
        <v>13</v>
      </c>
      <c r="AV188" s="32">
        <f>AW188+AX188</f>
        <v>0</v>
      </c>
      <c r="AW188" s="32">
        <f>G188*AO188</f>
        <v>0</v>
      </c>
      <c r="AX188" s="32">
        <f>G188*AP188</f>
        <v>0</v>
      </c>
      <c r="AY188" s="33" t="s">
        <v>658</v>
      </c>
      <c r="AZ188" s="33" t="s">
        <v>677</v>
      </c>
      <c r="BA188" s="28" t="s">
        <v>681</v>
      </c>
      <c r="BC188" s="32">
        <f>AW188+AX188</f>
        <v>0</v>
      </c>
      <c r="BD188" s="32">
        <f>H188/(100-BE188)*100</f>
        <v>0</v>
      </c>
      <c r="BE188" s="32">
        <v>0</v>
      </c>
      <c r="BF188" s="32">
        <f>186</f>
        <v>186</v>
      </c>
      <c r="BH188" s="15">
        <f>G188*AO188</f>
        <v>0</v>
      </c>
      <c r="BI188" s="15">
        <f>G188*AP188</f>
        <v>0</v>
      </c>
      <c r="BJ188" s="15">
        <f>G188*H188</f>
        <v>0</v>
      </c>
    </row>
    <row r="189" spans="1:62" x14ac:dyDescent="0.2">
      <c r="C189" s="58" t="s">
        <v>430</v>
      </c>
      <c r="D189" s="59"/>
      <c r="E189" s="59"/>
      <c r="G189" s="16">
        <v>2</v>
      </c>
    </row>
    <row r="190" spans="1:62" x14ac:dyDescent="0.2">
      <c r="A190" s="5"/>
      <c r="B190" s="13" t="s">
        <v>188</v>
      </c>
      <c r="C190" s="66" t="s">
        <v>431</v>
      </c>
      <c r="D190" s="67"/>
      <c r="E190" s="67"/>
      <c r="F190" s="5" t="s">
        <v>6</v>
      </c>
      <c r="G190" s="5" t="s">
        <v>6</v>
      </c>
      <c r="H190" s="5" t="s">
        <v>6</v>
      </c>
      <c r="I190" s="35">
        <f>SUM(I191:I213)</f>
        <v>0</v>
      </c>
      <c r="J190" s="35">
        <f>SUM(J191:J213)</f>
        <v>0</v>
      </c>
      <c r="K190" s="35">
        <f>SUM(K191:K213)</f>
        <v>0</v>
      </c>
      <c r="L190" s="28"/>
      <c r="AI190" s="28"/>
      <c r="AS190" s="35">
        <f>SUM(AJ191:AJ213)</f>
        <v>0</v>
      </c>
      <c r="AT190" s="35">
        <f>SUM(AK191:AK213)</f>
        <v>0</v>
      </c>
      <c r="AU190" s="35">
        <f>SUM(AL191:AL213)</f>
        <v>0</v>
      </c>
    </row>
    <row r="191" spans="1:62" x14ac:dyDescent="0.2">
      <c r="A191" s="4" t="s">
        <v>60</v>
      </c>
      <c r="B191" s="4" t="s">
        <v>189</v>
      </c>
      <c r="C191" s="60" t="s">
        <v>432</v>
      </c>
      <c r="D191" s="61"/>
      <c r="E191" s="61"/>
      <c r="F191" s="4" t="s">
        <v>617</v>
      </c>
      <c r="G191" s="15">
        <v>42</v>
      </c>
      <c r="H191" s="15">
        <v>0</v>
      </c>
      <c r="I191" s="15">
        <f>G191*AO191</f>
        <v>0</v>
      </c>
      <c r="J191" s="15">
        <f>G191*AP191</f>
        <v>0</v>
      </c>
      <c r="K191" s="15">
        <f>G191*H191</f>
        <v>0</v>
      </c>
      <c r="L191" s="27" t="s">
        <v>636</v>
      </c>
      <c r="Z191" s="32">
        <f>IF(AQ191="5",BJ191,0)</f>
        <v>0</v>
      </c>
      <c r="AB191" s="32">
        <f>IF(AQ191="1",BH191,0)</f>
        <v>0</v>
      </c>
      <c r="AC191" s="32">
        <f>IF(AQ191="1",BI191,0)</f>
        <v>0</v>
      </c>
      <c r="AD191" s="32">
        <f>IF(AQ191="7",BH191,0)</f>
        <v>0</v>
      </c>
      <c r="AE191" s="32">
        <f>IF(AQ191="7",BI191,0)</f>
        <v>0</v>
      </c>
      <c r="AF191" s="32">
        <f>IF(AQ191="2",BH191,0)</f>
        <v>0</v>
      </c>
      <c r="AG191" s="32">
        <f>IF(AQ191="2",BI191,0)</f>
        <v>0</v>
      </c>
      <c r="AH191" s="32">
        <f>IF(AQ191="0",BJ191,0)</f>
        <v>0</v>
      </c>
      <c r="AI191" s="28"/>
      <c r="AJ191" s="15">
        <f>IF(AN191=0,K191,0)</f>
        <v>0</v>
      </c>
      <c r="AK191" s="15">
        <f>IF(AN191=15,K191,0)</f>
        <v>0</v>
      </c>
      <c r="AL191" s="15">
        <f>IF(AN191=21,K191,0)</f>
        <v>0</v>
      </c>
      <c r="AN191" s="32">
        <v>21</v>
      </c>
      <c r="AO191" s="32">
        <f>H191*0</f>
        <v>0</v>
      </c>
      <c r="AP191" s="32">
        <f>H191*(1-0)</f>
        <v>0</v>
      </c>
      <c r="AQ191" s="27" t="s">
        <v>13</v>
      </c>
      <c r="AV191" s="32">
        <f>AW191+AX191</f>
        <v>0</v>
      </c>
      <c r="AW191" s="32">
        <f>G191*AO191</f>
        <v>0</v>
      </c>
      <c r="AX191" s="32">
        <f>G191*AP191</f>
        <v>0</v>
      </c>
      <c r="AY191" s="33" t="s">
        <v>659</v>
      </c>
      <c r="AZ191" s="33" t="s">
        <v>677</v>
      </c>
      <c r="BA191" s="28" t="s">
        <v>681</v>
      </c>
      <c r="BC191" s="32">
        <f>AW191+AX191</f>
        <v>0</v>
      </c>
      <c r="BD191" s="32">
        <f>H191/(100-BE191)*100</f>
        <v>0</v>
      </c>
      <c r="BE191" s="32">
        <v>0</v>
      </c>
      <c r="BF191" s="32">
        <f>189</f>
        <v>189</v>
      </c>
      <c r="BH191" s="15">
        <f>G191*AO191</f>
        <v>0</v>
      </c>
      <c r="BI191" s="15">
        <f>G191*AP191</f>
        <v>0</v>
      </c>
      <c r="BJ191" s="15">
        <f>G191*H191</f>
        <v>0</v>
      </c>
    </row>
    <row r="192" spans="1:62" x14ac:dyDescent="0.2">
      <c r="C192" s="58" t="s">
        <v>433</v>
      </c>
      <c r="D192" s="59"/>
      <c r="E192" s="59"/>
      <c r="G192" s="16">
        <v>42</v>
      </c>
    </row>
    <row r="193" spans="1:62" x14ac:dyDescent="0.2">
      <c r="A193" s="4" t="s">
        <v>61</v>
      </c>
      <c r="B193" s="4" t="s">
        <v>190</v>
      </c>
      <c r="C193" s="60" t="s">
        <v>434</v>
      </c>
      <c r="D193" s="61"/>
      <c r="E193" s="61"/>
      <c r="F193" s="4" t="s">
        <v>617</v>
      </c>
      <c r="G193" s="15">
        <v>3</v>
      </c>
      <c r="H193" s="15">
        <v>0</v>
      </c>
      <c r="I193" s="15">
        <f>G193*AO193</f>
        <v>0</v>
      </c>
      <c r="J193" s="15">
        <f>G193*AP193</f>
        <v>0</v>
      </c>
      <c r="K193" s="15">
        <f>G193*H193</f>
        <v>0</v>
      </c>
      <c r="L193" s="27" t="s">
        <v>636</v>
      </c>
      <c r="Z193" s="32">
        <f>IF(AQ193="5",BJ193,0)</f>
        <v>0</v>
      </c>
      <c r="AB193" s="32">
        <f>IF(AQ193="1",BH193,0)</f>
        <v>0</v>
      </c>
      <c r="AC193" s="32">
        <f>IF(AQ193="1",BI193,0)</f>
        <v>0</v>
      </c>
      <c r="AD193" s="32">
        <f>IF(AQ193="7",BH193,0)</f>
        <v>0</v>
      </c>
      <c r="AE193" s="32">
        <f>IF(AQ193="7",BI193,0)</f>
        <v>0</v>
      </c>
      <c r="AF193" s="32">
        <f>IF(AQ193="2",BH193,0)</f>
        <v>0</v>
      </c>
      <c r="AG193" s="32">
        <f>IF(AQ193="2",BI193,0)</f>
        <v>0</v>
      </c>
      <c r="AH193" s="32">
        <f>IF(AQ193="0",BJ193,0)</f>
        <v>0</v>
      </c>
      <c r="AI193" s="28"/>
      <c r="AJ193" s="15">
        <f>IF(AN193=0,K193,0)</f>
        <v>0</v>
      </c>
      <c r="AK193" s="15">
        <f>IF(AN193=15,K193,0)</f>
        <v>0</v>
      </c>
      <c r="AL193" s="15">
        <f>IF(AN193=21,K193,0)</f>
        <v>0</v>
      </c>
      <c r="AN193" s="32">
        <v>21</v>
      </c>
      <c r="AO193" s="32">
        <f>H193*0</f>
        <v>0</v>
      </c>
      <c r="AP193" s="32">
        <f>H193*(1-0)</f>
        <v>0</v>
      </c>
      <c r="AQ193" s="27" t="s">
        <v>13</v>
      </c>
      <c r="AV193" s="32">
        <f>AW193+AX193</f>
        <v>0</v>
      </c>
      <c r="AW193" s="32">
        <f>G193*AO193</f>
        <v>0</v>
      </c>
      <c r="AX193" s="32">
        <f>G193*AP193</f>
        <v>0</v>
      </c>
      <c r="AY193" s="33" t="s">
        <v>659</v>
      </c>
      <c r="AZ193" s="33" t="s">
        <v>677</v>
      </c>
      <c r="BA193" s="28" t="s">
        <v>681</v>
      </c>
      <c r="BC193" s="32">
        <f>AW193+AX193</f>
        <v>0</v>
      </c>
      <c r="BD193" s="32">
        <f>H193/(100-BE193)*100</f>
        <v>0</v>
      </c>
      <c r="BE193" s="32">
        <v>0</v>
      </c>
      <c r="BF193" s="32">
        <f>191</f>
        <v>191</v>
      </c>
      <c r="BH193" s="15">
        <f>G193*AO193</f>
        <v>0</v>
      </c>
      <c r="BI193" s="15">
        <f>G193*AP193</f>
        <v>0</v>
      </c>
      <c r="BJ193" s="15">
        <f>G193*H193</f>
        <v>0</v>
      </c>
    </row>
    <row r="194" spans="1:62" x14ac:dyDescent="0.2">
      <c r="C194" s="58" t="s">
        <v>435</v>
      </c>
      <c r="D194" s="59"/>
      <c r="E194" s="59"/>
      <c r="G194" s="16">
        <v>3</v>
      </c>
    </row>
    <row r="195" spans="1:62" x14ac:dyDescent="0.2">
      <c r="A195" s="4" t="s">
        <v>62</v>
      </c>
      <c r="B195" s="4" t="s">
        <v>191</v>
      </c>
      <c r="C195" s="60" t="s">
        <v>436</v>
      </c>
      <c r="D195" s="61"/>
      <c r="E195" s="61"/>
      <c r="F195" s="4" t="s">
        <v>617</v>
      </c>
      <c r="G195" s="15">
        <v>3</v>
      </c>
      <c r="H195" s="15">
        <v>0</v>
      </c>
      <c r="I195" s="15">
        <f>G195*AO195</f>
        <v>0</v>
      </c>
      <c r="J195" s="15">
        <f>G195*AP195</f>
        <v>0</v>
      </c>
      <c r="K195" s="15">
        <f>G195*H195</f>
        <v>0</v>
      </c>
      <c r="L195" s="27" t="s">
        <v>636</v>
      </c>
      <c r="Z195" s="32">
        <f>IF(AQ195="5",BJ195,0)</f>
        <v>0</v>
      </c>
      <c r="AB195" s="32">
        <f>IF(AQ195="1",BH195,0)</f>
        <v>0</v>
      </c>
      <c r="AC195" s="32">
        <f>IF(AQ195="1",BI195,0)</f>
        <v>0</v>
      </c>
      <c r="AD195" s="32">
        <f>IF(AQ195="7",BH195,0)</f>
        <v>0</v>
      </c>
      <c r="AE195" s="32">
        <f>IF(AQ195="7",BI195,0)</f>
        <v>0</v>
      </c>
      <c r="AF195" s="32">
        <f>IF(AQ195="2",BH195,0)</f>
        <v>0</v>
      </c>
      <c r="AG195" s="32">
        <f>IF(AQ195="2",BI195,0)</f>
        <v>0</v>
      </c>
      <c r="AH195" s="32">
        <f>IF(AQ195="0",BJ195,0)</f>
        <v>0</v>
      </c>
      <c r="AI195" s="28"/>
      <c r="AJ195" s="15">
        <f>IF(AN195=0,K195,0)</f>
        <v>0</v>
      </c>
      <c r="AK195" s="15">
        <f>IF(AN195=15,K195,0)</f>
        <v>0</v>
      </c>
      <c r="AL195" s="15">
        <f>IF(AN195=21,K195,0)</f>
        <v>0</v>
      </c>
      <c r="AN195" s="32">
        <v>21</v>
      </c>
      <c r="AO195" s="32">
        <f>H195*0.820918</f>
        <v>0</v>
      </c>
      <c r="AP195" s="32">
        <f>H195*(1-0.820918)</f>
        <v>0</v>
      </c>
      <c r="AQ195" s="27" t="s">
        <v>13</v>
      </c>
      <c r="AV195" s="32">
        <f>AW195+AX195</f>
        <v>0</v>
      </c>
      <c r="AW195" s="32">
        <f>G195*AO195</f>
        <v>0</v>
      </c>
      <c r="AX195" s="32">
        <f>G195*AP195</f>
        <v>0</v>
      </c>
      <c r="AY195" s="33" t="s">
        <v>659</v>
      </c>
      <c r="AZ195" s="33" t="s">
        <v>677</v>
      </c>
      <c r="BA195" s="28" t="s">
        <v>681</v>
      </c>
      <c r="BC195" s="32">
        <f>AW195+AX195</f>
        <v>0</v>
      </c>
      <c r="BD195" s="32">
        <f>H195/(100-BE195)*100</f>
        <v>0</v>
      </c>
      <c r="BE195" s="32">
        <v>0</v>
      </c>
      <c r="BF195" s="32">
        <f>193</f>
        <v>193</v>
      </c>
      <c r="BH195" s="15">
        <f>G195*AO195</f>
        <v>0</v>
      </c>
      <c r="BI195" s="15">
        <f>G195*AP195</f>
        <v>0</v>
      </c>
      <c r="BJ195" s="15">
        <f>G195*H195</f>
        <v>0</v>
      </c>
    </row>
    <row r="196" spans="1:62" x14ac:dyDescent="0.2">
      <c r="C196" s="58" t="s">
        <v>437</v>
      </c>
      <c r="D196" s="59"/>
      <c r="E196" s="59"/>
      <c r="G196" s="16">
        <v>3</v>
      </c>
    </row>
    <row r="197" spans="1:62" x14ac:dyDescent="0.2">
      <c r="A197" s="4" t="s">
        <v>63</v>
      </c>
      <c r="B197" s="4" t="s">
        <v>192</v>
      </c>
      <c r="C197" s="60" t="s">
        <v>438</v>
      </c>
      <c r="D197" s="61"/>
      <c r="E197" s="61"/>
      <c r="F197" s="4" t="s">
        <v>617</v>
      </c>
      <c r="G197" s="15">
        <v>47</v>
      </c>
      <c r="H197" s="15">
        <v>0</v>
      </c>
      <c r="I197" s="15">
        <f>G197*AO197</f>
        <v>0</v>
      </c>
      <c r="J197" s="15">
        <f>G197*AP197</f>
        <v>0</v>
      </c>
      <c r="K197" s="15">
        <f>G197*H197</f>
        <v>0</v>
      </c>
      <c r="L197" s="27" t="s">
        <v>636</v>
      </c>
      <c r="Z197" s="32">
        <f>IF(AQ197="5",BJ197,0)</f>
        <v>0</v>
      </c>
      <c r="AB197" s="32">
        <f>IF(AQ197="1",BH197,0)</f>
        <v>0</v>
      </c>
      <c r="AC197" s="32">
        <f>IF(AQ197="1",BI197,0)</f>
        <v>0</v>
      </c>
      <c r="AD197" s="32">
        <f>IF(AQ197="7",BH197,0)</f>
        <v>0</v>
      </c>
      <c r="AE197" s="32">
        <f>IF(AQ197="7",BI197,0)</f>
        <v>0</v>
      </c>
      <c r="AF197" s="32">
        <f>IF(AQ197="2",BH197,0)</f>
        <v>0</v>
      </c>
      <c r="AG197" s="32">
        <f>IF(AQ197="2",BI197,0)</f>
        <v>0</v>
      </c>
      <c r="AH197" s="32">
        <f>IF(AQ197="0",BJ197,0)</f>
        <v>0</v>
      </c>
      <c r="AI197" s="28"/>
      <c r="AJ197" s="15">
        <f>IF(AN197=0,K197,0)</f>
        <v>0</v>
      </c>
      <c r="AK197" s="15">
        <f>IF(AN197=15,K197,0)</f>
        <v>0</v>
      </c>
      <c r="AL197" s="15">
        <f>IF(AN197=21,K197,0)</f>
        <v>0</v>
      </c>
      <c r="AN197" s="32">
        <v>21</v>
      </c>
      <c r="AO197" s="32">
        <f>H197*0</f>
        <v>0</v>
      </c>
      <c r="AP197" s="32">
        <f>H197*(1-0)</f>
        <v>0</v>
      </c>
      <c r="AQ197" s="27" t="s">
        <v>13</v>
      </c>
      <c r="AV197" s="32">
        <f>AW197+AX197</f>
        <v>0</v>
      </c>
      <c r="AW197" s="32">
        <f>G197*AO197</f>
        <v>0</v>
      </c>
      <c r="AX197" s="32">
        <f>G197*AP197</f>
        <v>0</v>
      </c>
      <c r="AY197" s="33" t="s">
        <v>659</v>
      </c>
      <c r="AZ197" s="33" t="s">
        <v>677</v>
      </c>
      <c r="BA197" s="28" t="s">
        <v>681</v>
      </c>
      <c r="BC197" s="32">
        <f>AW197+AX197</f>
        <v>0</v>
      </c>
      <c r="BD197" s="32">
        <f>H197/(100-BE197)*100</f>
        <v>0</v>
      </c>
      <c r="BE197" s="32">
        <v>0</v>
      </c>
      <c r="BF197" s="32">
        <f>195</f>
        <v>195</v>
      </c>
      <c r="BH197" s="15">
        <f>G197*AO197</f>
        <v>0</v>
      </c>
      <c r="BI197" s="15">
        <f>G197*AP197</f>
        <v>0</v>
      </c>
      <c r="BJ197" s="15">
        <f>G197*H197</f>
        <v>0</v>
      </c>
    </row>
    <row r="198" spans="1:62" x14ac:dyDescent="0.2">
      <c r="C198" s="58" t="s">
        <v>439</v>
      </c>
      <c r="D198" s="59"/>
      <c r="E198" s="59"/>
      <c r="G198" s="16">
        <v>42</v>
      </c>
    </row>
    <row r="199" spans="1:62" x14ac:dyDescent="0.2">
      <c r="C199" s="58" t="s">
        <v>440</v>
      </c>
      <c r="D199" s="59"/>
      <c r="E199" s="59"/>
      <c r="G199" s="16">
        <v>5</v>
      </c>
    </row>
    <row r="200" spans="1:62" x14ac:dyDescent="0.2">
      <c r="A200" s="6" t="s">
        <v>64</v>
      </c>
      <c r="B200" s="6" t="s">
        <v>193</v>
      </c>
      <c r="C200" s="68" t="s">
        <v>441</v>
      </c>
      <c r="D200" s="69"/>
      <c r="E200" s="69"/>
      <c r="F200" s="6" t="s">
        <v>617</v>
      </c>
      <c r="G200" s="17">
        <v>42</v>
      </c>
      <c r="H200" s="17">
        <v>0</v>
      </c>
      <c r="I200" s="17">
        <f>G200*AO200</f>
        <v>0</v>
      </c>
      <c r="J200" s="17">
        <f>G200*AP200</f>
        <v>0</v>
      </c>
      <c r="K200" s="17">
        <f>G200*H200</f>
        <v>0</v>
      </c>
      <c r="L200" s="29" t="s">
        <v>636</v>
      </c>
      <c r="Z200" s="32">
        <f>IF(AQ200="5",BJ200,0)</f>
        <v>0</v>
      </c>
      <c r="AB200" s="32">
        <f>IF(AQ200="1",BH200,0)</f>
        <v>0</v>
      </c>
      <c r="AC200" s="32">
        <f>IF(AQ200="1",BI200,0)</f>
        <v>0</v>
      </c>
      <c r="AD200" s="32">
        <f>IF(AQ200="7",BH200,0)</f>
        <v>0</v>
      </c>
      <c r="AE200" s="32">
        <f>IF(AQ200="7",BI200,0)</f>
        <v>0</v>
      </c>
      <c r="AF200" s="32">
        <f>IF(AQ200="2",BH200,0)</f>
        <v>0</v>
      </c>
      <c r="AG200" s="32">
        <f>IF(AQ200="2",BI200,0)</f>
        <v>0</v>
      </c>
      <c r="AH200" s="32">
        <f>IF(AQ200="0",BJ200,0)</f>
        <v>0</v>
      </c>
      <c r="AI200" s="28"/>
      <c r="AJ200" s="17">
        <f>IF(AN200=0,K200,0)</f>
        <v>0</v>
      </c>
      <c r="AK200" s="17">
        <f>IF(AN200=15,K200,0)</f>
        <v>0</v>
      </c>
      <c r="AL200" s="17">
        <f>IF(AN200=21,K200,0)</f>
        <v>0</v>
      </c>
      <c r="AN200" s="32">
        <v>21</v>
      </c>
      <c r="AO200" s="32">
        <f>H200*1</f>
        <v>0</v>
      </c>
      <c r="AP200" s="32">
        <f>H200*(1-1)</f>
        <v>0</v>
      </c>
      <c r="AQ200" s="29" t="s">
        <v>13</v>
      </c>
      <c r="AV200" s="32">
        <f>AW200+AX200</f>
        <v>0</v>
      </c>
      <c r="AW200" s="32">
        <f>G200*AO200</f>
        <v>0</v>
      </c>
      <c r="AX200" s="32">
        <f>G200*AP200</f>
        <v>0</v>
      </c>
      <c r="AY200" s="33" t="s">
        <v>659</v>
      </c>
      <c r="AZ200" s="33" t="s">
        <v>677</v>
      </c>
      <c r="BA200" s="28" t="s">
        <v>681</v>
      </c>
      <c r="BC200" s="32">
        <f>AW200+AX200</f>
        <v>0</v>
      </c>
      <c r="BD200" s="32">
        <f>H200/(100-BE200)*100</f>
        <v>0</v>
      </c>
      <c r="BE200" s="32">
        <v>0</v>
      </c>
      <c r="BF200" s="32">
        <f>198</f>
        <v>198</v>
      </c>
      <c r="BH200" s="17">
        <f>G200*AO200</f>
        <v>0</v>
      </c>
      <c r="BI200" s="17">
        <f>G200*AP200</f>
        <v>0</v>
      </c>
      <c r="BJ200" s="17">
        <f>G200*H200</f>
        <v>0</v>
      </c>
    </row>
    <row r="201" spans="1:62" x14ac:dyDescent="0.2">
      <c r="C201" s="58" t="s">
        <v>439</v>
      </c>
      <c r="D201" s="59"/>
      <c r="E201" s="59"/>
      <c r="G201" s="16">
        <v>42</v>
      </c>
    </row>
    <row r="202" spans="1:62" x14ac:dyDescent="0.2">
      <c r="A202" s="6" t="s">
        <v>65</v>
      </c>
      <c r="B202" s="6" t="s">
        <v>194</v>
      </c>
      <c r="C202" s="68" t="s">
        <v>442</v>
      </c>
      <c r="D202" s="69"/>
      <c r="E202" s="69"/>
      <c r="F202" s="6" t="s">
        <v>617</v>
      </c>
      <c r="G202" s="17">
        <v>1</v>
      </c>
      <c r="H202" s="17">
        <v>0</v>
      </c>
      <c r="I202" s="17">
        <f>G202*AO202</f>
        <v>0</v>
      </c>
      <c r="J202" s="17">
        <f>G202*AP202</f>
        <v>0</v>
      </c>
      <c r="K202" s="17">
        <f>G202*H202</f>
        <v>0</v>
      </c>
      <c r="L202" s="29" t="s">
        <v>636</v>
      </c>
      <c r="Z202" s="32">
        <f>IF(AQ202="5",BJ202,0)</f>
        <v>0</v>
      </c>
      <c r="AB202" s="32">
        <f>IF(AQ202="1",BH202,0)</f>
        <v>0</v>
      </c>
      <c r="AC202" s="32">
        <f>IF(AQ202="1",BI202,0)</f>
        <v>0</v>
      </c>
      <c r="AD202" s="32">
        <f>IF(AQ202="7",BH202,0)</f>
        <v>0</v>
      </c>
      <c r="AE202" s="32">
        <f>IF(AQ202="7",BI202,0)</f>
        <v>0</v>
      </c>
      <c r="AF202" s="32">
        <f>IF(AQ202="2",BH202,0)</f>
        <v>0</v>
      </c>
      <c r="AG202" s="32">
        <f>IF(AQ202="2",BI202,0)</f>
        <v>0</v>
      </c>
      <c r="AH202" s="32">
        <f>IF(AQ202="0",BJ202,0)</f>
        <v>0</v>
      </c>
      <c r="AI202" s="28"/>
      <c r="AJ202" s="17">
        <f>IF(AN202=0,K202,0)</f>
        <v>0</v>
      </c>
      <c r="AK202" s="17">
        <f>IF(AN202=15,K202,0)</f>
        <v>0</v>
      </c>
      <c r="AL202" s="17">
        <f>IF(AN202=21,K202,0)</f>
        <v>0</v>
      </c>
      <c r="AN202" s="32">
        <v>21</v>
      </c>
      <c r="AO202" s="32">
        <f>H202*1</f>
        <v>0</v>
      </c>
      <c r="AP202" s="32">
        <f>H202*(1-1)</f>
        <v>0</v>
      </c>
      <c r="AQ202" s="29" t="s">
        <v>13</v>
      </c>
      <c r="AV202" s="32">
        <f>AW202+AX202</f>
        <v>0</v>
      </c>
      <c r="AW202" s="32">
        <f>G202*AO202</f>
        <v>0</v>
      </c>
      <c r="AX202" s="32">
        <f>G202*AP202</f>
        <v>0</v>
      </c>
      <c r="AY202" s="33" t="s">
        <v>659</v>
      </c>
      <c r="AZ202" s="33" t="s">
        <v>677</v>
      </c>
      <c r="BA202" s="28" t="s">
        <v>681</v>
      </c>
      <c r="BC202" s="32">
        <f>AW202+AX202</f>
        <v>0</v>
      </c>
      <c r="BD202" s="32">
        <f>H202/(100-BE202)*100</f>
        <v>0</v>
      </c>
      <c r="BE202" s="32">
        <v>0</v>
      </c>
      <c r="BF202" s="32">
        <f>200</f>
        <v>200</v>
      </c>
      <c r="BH202" s="17">
        <f>G202*AO202</f>
        <v>0</v>
      </c>
      <c r="BI202" s="17">
        <f>G202*AP202</f>
        <v>0</v>
      </c>
      <c r="BJ202" s="17">
        <f>G202*H202</f>
        <v>0</v>
      </c>
    </row>
    <row r="203" spans="1:62" x14ac:dyDescent="0.2">
      <c r="C203" s="58" t="s">
        <v>443</v>
      </c>
      <c r="D203" s="59"/>
      <c r="E203" s="59"/>
      <c r="G203" s="16">
        <v>1</v>
      </c>
    </row>
    <row r="204" spans="1:62" x14ac:dyDescent="0.2">
      <c r="A204" s="6" t="s">
        <v>66</v>
      </c>
      <c r="B204" s="6" t="s">
        <v>195</v>
      </c>
      <c r="C204" s="68" t="s">
        <v>444</v>
      </c>
      <c r="D204" s="69"/>
      <c r="E204" s="69"/>
      <c r="F204" s="6" t="s">
        <v>617</v>
      </c>
      <c r="G204" s="17">
        <v>2</v>
      </c>
      <c r="H204" s="17">
        <v>0</v>
      </c>
      <c r="I204" s="17">
        <f>G204*AO204</f>
        <v>0</v>
      </c>
      <c r="J204" s="17">
        <f>G204*AP204</f>
        <v>0</v>
      </c>
      <c r="K204" s="17">
        <f>G204*H204</f>
        <v>0</v>
      </c>
      <c r="L204" s="29" t="s">
        <v>636</v>
      </c>
      <c r="Z204" s="32">
        <f>IF(AQ204="5",BJ204,0)</f>
        <v>0</v>
      </c>
      <c r="AB204" s="32">
        <f>IF(AQ204="1",BH204,0)</f>
        <v>0</v>
      </c>
      <c r="AC204" s="32">
        <f>IF(AQ204="1",BI204,0)</f>
        <v>0</v>
      </c>
      <c r="AD204" s="32">
        <f>IF(AQ204="7",BH204,0)</f>
        <v>0</v>
      </c>
      <c r="AE204" s="32">
        <f>IF(AQ204="7",BI204,0)</f>
        <v>0</v>
      </c>
      <c r="AF204" s="32">
        <f>IF(AQ204="2",BH204,0)</f>
        <v>0</v>
      </c>
      <c r="AG204" s="32">
        <f>IF(AQ204="2",BI204,0)</f>
        <v>0</v>
      </c>
      <c r="AH204" s="32">
        <f>IF(AQ204="0",BJ204,0)</f>
        <v>0</v>
      </c>
      <c r="AI204" s="28"/>
      <c r="AJ204" s="17">
        <f>IF(AN204=0,K204,0)</f>
        <v>0</v>
      </c>
      <c r="AK204" s="17">
        <f>IF(AN204=15,K204,0)</f>
        <v>0</v>
      </c>
      <c r="AL204" s="17">
        <f>IF(AN204=21,K204,0)</f>
        <v>0</v>
      </c>
      <c r="AN204" s="32">
        <v>21</v>
      </c>
      <c r="AO204" s="32">
        <f>H204*1</f>
        <v>0</v>
      </c>
      <c r="AP204" s="32">
        <f>H204*(1-1)</f>
        <v>0</v>
      </c>
      <c r="AQ204" s="29" t="s">
        <v>13</v>
      </c>
      <c r="AV204" s="32">
        <f>AW204+AX204</f>
        <v>0</v>
      </c>
      <c r="AW204" s="32">
        <f>G204*AO204</f>
        <v>0</v>
      </c>
      <c r="AX204" s="32">
        <f>G204*AP204</f>
        <v>0</v>
      </c>
      <c r="AY204" s="33" t="s">
        <v>659</v>
      </c>
      <c r="AZ204" s="33" t="s">
        <v>677</v>
      </c>
      <c r="BA204" s="28" t="s">
        <v>681</v>
      </c>
      <c r="BC204" s="32">
        <f>AW204+AX204</f>
        <v>0</v>
      </c>
      <c r="BD204" s="32">
        <f>H204/(100-BE204)*100</f>
        <v>0</v>
      </c>
      <c r="BE204" s="32">
        <v>0</v>
      </c>
      <c r="BF204" s="32">
        <f>202</f>
        <v>202</v>
      </c>
      <c r="BH204" s="17">
        <f>G204*AO204</f>
        <v>0</v>
      </c>
      <c r="BI204" s="17">
        <f>G204*AP204</f>
        <v>0</v>
      </c>
      <c r="BJ204" s="17">
        <f>G204*H204</f>
        <v>0</v>
      </c>
    </row>
    <row r="205" spans="1:62" x14ac:dyDescent="0.2">
      <c r="C205" s="58" t="s">
        <v>445</v>
      </c>
      <c r="D205" s="59"/>
      <c r="E205" s="59"/>
      <c r="G205" s="16">
        <v>2</v>
      </c>
    </row>
    <row r="206" spans="1:62" x14ac:dyDescent="0.2">
      <c r="A206" s="6" t="s">
        <v>67</v>
      </c>
      <c r="B206" s="6" t="s">
        <v>196</v>
      </c>
      <c r="C206" s="68" t="s">
        <v>446</v>
      </c>
      <c r="D206" s="69"/>
      <c r="E206" s="69"/>
      <c r="F206" s="6" t="s">
        <v>617</v>
      </c>
      <c r="G206" s="17">
        <v>5</v>
      </c>
      <c r="H206" s="17">
        <v>0</v>
      </c>
      <c r="I206" s="17">
        <f>G206*AO206</f>
        <v>0</v>
      </c>
      <c r="J206" s="17">
        <f>G206*AP206</f>
        <v>0</v>
      </c>
      <c r="K206" s="17">
        <f>G206*H206</f>
        <v>0</v>
      </c>
      <c r="L206" s="29" t="s">
        <v>636</v>
      </c>
      <c r="Z206" s="32">
        <f>IF(AQ206="5",BJ206,0)</f>
        <v>0</v>
      </c>
      <c r="AB206" s="32">
        <f>IF(AQ206="1",BH206,0)</f>
        <v>0</v>
      </c>
      <c r="AC206" s="32">
        <f>IF(AQ206="1",BI206,0)</f>
        <v>0</v>
      </c>
      <c r="AD206" s="32">
        <f>IF(AQ206="7",BH206,0)</f>
        <v>0</v>
      </c>
      <c r="AE206" s="32">
        <f>IF(AQ206="7",BI206,0)</f>
        <v>0</v>
      </c>
      <c r="AF206" s="32">
        <f>IF(AQ206="2",BH206,0)</f>
        <v>0</v>
      </c>
      <c r="AG206" s="32">
        <f>IF(AQ206="2",BI206,0)</f>
        <v>0</v>
      </c>
      <c r="AH206" s="32">
        <f>IF(AQ206="0",BJ206,0)</f>
        <v>0</v>
      </c>
      <c r="AI206" s="28"/>
      <c r="AJ206" s="17">
        <f>IF(AN206=0,K206,0)</f>
        <v>0</v>
      </c>
      <c r="AK206" s="17">
        <f>IF(AN206=15,K206,0)</f>
        <v>0</v>
      </c>
      <c r="AL206" s="17">
        <f>IF(AN206=21,K206,0)</f>
        <v>0</v>
      </c>
      <c r="AN206" s="32">
        <v>21</v>
      </c>
      <c r="AO206" s="32">
        <f>H206*1</f>
        <v>0</v>
      </c>
      <c r="AP206" s="32">
        <f>H206*(1-1)</f>
        <v>0</v>
      </c>
      <c r="AQ206" s="29" t="s">
        <v>13</v>
      </c>
      <c r="AV206" s="32">
        <f>AW206+AX206</f>
        <v>0</v>
      </c>
      <c r="AW206" s="32">
        <f>G206*AO206</f>
        <v>0</v>
      </c>
      <c r="AX206" s="32">
        <f>G206*AP206</f>
        <v>0</v>
      </c>
      <c r="AY206" s="33" t="s">
        <v>659</v>
      </c>
      <c r="AZ206" s="33" t="s">
        <v>677</v>
      </c>
      <c r="BA206" s="28" t="s">
        <v>681</v>
      </c>
      <c r="BC206" s="32">
        <f>AW206+AX206</f>
        <v>0</v>
      </c>
      <c r="BD206" s="32">
        <f>H206/(100-BE206)*100</f>
        <v>0</v>
      </c>
      <c r="BE206" s="32">
        <v>0</v>
      </c>
      <c r="BF206" s="32">
        <f>204</f>
        <v>204</v>
      </c>
      <c r="BH206" s="17">
        <f>G206*AO206</f>
        <v>0</v>
      </c>
      <c r="BI206" s="17">
        <f>G206*AP206</f>
        <v>0</v>
      </c>
      <c r="BJ206" s="17">
        <f>G206*H206</f>
        <v>0</v>
      </c>
    </row>
    <row r="207" spans="1:62" x14ac:dyDescent="0.2">
      <c r="C207" s="58" t="s">
        <v>440</v>
      </c>
      <c r="D207" s="59"/>
      <c r="E207" s="59"/>
      <c r="G207" s="16">
        <v>5</v>
      </c>
    </row>
    <row r="208" spans="1:62" x14ac:dyDescent="0.2">
      <c r="A208" s="4" t="s">
        <v>68</v>
      </c>
      <c r="B208" s="4" t="s">
        <v>197</v>
      </c>
      <c r="C208" s="60" t="s">
        <v>447</v>
      </c>
      <c r="D208" s="61"/>
      <c r="E208" s="61"/>
      <c r="F208" s="4" t="s">
        <v>617</v>
      </c>
      <c r="G208" s="15">
        <v>6</v>
      </c>
      <c r="H208" s="15">
        <v>0</v>
      </c>
      <c r="I208" s="15">
        <f>G208*AO208</f>
        <v>0</v>
      </c>
      <c r="J208" s="15">
        <f>G208*AP208</f>
        <v>0</v>
      </c>
      <c r="K208" s="15">
        <f>G208*H208</f>
        <v>0</v>
      </c>
      <c r="L208" s="27" t="s">
        <v>636</v>
      </c>
      <c r="Z208" s="32">
        <f>IF(AQ208="5",BJ208,0)</f>
        <v>0</v>
      </c>
      <c r="AB208" s="32">
        <f>IF(AQ208="1",BH208,0)</f>
        <v>0</v>
      </c>
      <c r="AC208" s="32">
        <f>IF(AQ208="1",BI208,0)</f>
        <v>0</v>
      </c>
      <c r="AD208" s="32">
        <f>IF(AQ208="7",BH208,0)</f>
        <v>0</v>
      </c>
      <c r="AE208" s="32">
        <f>IF(AQ208="7",BI208,0)</f>
        <v>0</v>
      </c>
      <c r="AF208" s="32">
        <f>IF(AQ208="2",BH208,0)</f>
        <v>0</v>
      </c>
      <c r="AG208" s="32">
        <f>IF(AQ208="2",BI208,0)</f>
        <v>0</v>
      </c>
      <c r="AH208" s="32">
        <f>IF(AQ208="0",BJ208,0)</f>
        <v>0</v>
      </c>
      <c r="AI208" s="28"/>
      <c r="AJ208" s="15">
        <f>IF(AN208=0,K208,0)</f>
        <v>0</v>
      </c>
      <c r="AK208" s="15">
        <f>IF(AN208=15,K208,0)</f>
        <v>0</v>
      </c>
      <c r="AL208" s="15">
        <f>IF(AN208=21,K208,0)</f>
        <v>0</v>
      </c>
      <c r="AN208" s="32">
        <v>21</v>
      </c>
      <c r="AO208" s="32">
        <f>H208*0</f>
        <v>0</v>
      </c>
      <c r="AP208" s="32">
        <f>H208*(1-0)</f>
        <v>0</v>
      </c>
      <c r="AQ208" s="27" t="s">
        <v>13</v>
      </c>
      <c r="AV208" s="32">
        <f>AW208+AX208</f>
        <v>0</v>
      </c>
      <c r="AW208" s="32">
        <f>G208*AO208</f>
        <v>0</v>
      </c>
      <c r="AX208" s="32">
        <f>G208*AP208</f>
        <v>0</v>
      </c>
      <c r="AY208" s="33" t="s">
        <v>659</v>
      </c>
      <c r="AZ208" s="33" t="s">
        <v>677</v>
      </c>
      <c r="BA208" s="28" t="s">
        <v>681</v>
      </c>
      <c r="BC208" s="32">
        <f>AW208+AX208</f>
        <v>0</v>
      </c>
      <c r="BD208" s="32">
        <f>H208/(100-BE208)*100</f>
        <v>0</v>
      </c>
      <c r="BE208" s="32">
        <v>0</v>
      </c>
      <c r="BF208" s="32">
        <f>206</f>
        <v>206</v>
      </c>
      <c r="BH208" s="15">
        <f>G208*AO208</f>
        <v>0</v>
      </c>
      <c r="BI208" s="15">
        <f>G208*AP208</f>
        <v>0</v>
      </c>
      <c r="BJ208" s="15">
        <f>G208*H208</f>
        <v>0</v>
      </c>
    </row>
    <row r="209" spans="1:62" x14ac:dyDescent="0.2">
      <c r="C209" s="58" t="s">
        <v>448</v>
      </c>
      <c r="D209" s="59"/>
      <c r="E209" s="59"/>
      <c r="G209" s="16">
        <v>5</v>
      </c>
    </row>
    <row r="210" spans="1:62" x14ac:dyDescent="0.2">
      <c r="C210" s="58" t="s">
        <v>449</v>
      </c>
      <c r="D210" s="59"/>
      <c r="E210" s="59"/>
      <c r="G210" s="16">
        <v>1</v>
      </c>
    </row>
    <row r="211" spans="1:62" x14ac:dyDescent="0.2">
      <c r="A211" s="4" t="s">
        <v>69</v>
      </c>
      <c r="B211" s="4" t="s">
        <v>198</v>
      </c>
      <c r="C211" s="60" t="s">
        <v>450</v>
      </c>
      <c r="D211" s="61"/>
      <c r="E211" s="61"/>
      <c r="F211" s="4" t="s">
        <v>617</v>
      </c>
      <c r="G211" s="15">
        <v>2</v>
      </c>
      <c r="H211" s="15">
        <v>0</v>
      </c>
      <c r="I211" s="15">
        <f>G211*AO211</f>
        <v>0</v>
      </c>
      <c r="J211" s="15">
        <f>G211*AP211</f>
        <v>0</v>
      </c>
      <c r="K211" s="15">
        <f>G211*H211</f>
        <v>0</v>
      </c>
      <c r="L211" s="27" t="s">
        <v>636</v>
      </c>
      <c r="Z211" s="32">
        <f>IF(AQ211="5",BJ211,0)</f>
        <v>0</v>
      </c>
      <c r="AB211" s="32">
        <f>IF(AQ211="1",BH211,0)</f>
        <v>0</v>
      </c>
      <c r="AC211" s="32">
        <f>IF(AQ211="1",BI211,0)</f>
        <v>0</v>
      </c>
      <c r="AD211" s="32">
        <f>IF(AQ211="7",BH211,0)</f>
        <v>0</v>
      </c>
      <c r="AE211" s="32">
        <f>IF(AQ211="7",BI211,0)</f>
        <v>0</v>
      </c>
      <c r="AF211" s="32">
        <f>IF(AQ211="2",BH211,0)</f>
        <v>0</v>
      </c>
      <c r="AG211" s="32">
        <f>IF(AQ211="2",BI211,0)</f>
        <v>0</v>
      </c>
      <c r="AH211" s="32">
        <f>IF(AQ211="0",BJ211,0)</f>
        <v>0</v>
      </c>
      <c r="AI211" s="28"/>
      <c r="AJ211" s="15">
        <f>IF(AN211=0,K211,0)</f>
        <v>0</v>
      </c>
      <c r="AK211" s="15">
        <f>IF(AN211=15,K211,0)</f>
        <v>0</v>
      </c>
      <c r="AL211" s="15">
        <f>IF(AN211=21,K211,0)</f>
        <v>0</v>
      </c>
      <c r="AN211" s="32">
        <v>21</v>
      </c>
      <c r="AO211" s="32">
        <f>H211*0</f>
        <v>0</v>
      </c>
      <c r="AP211" s="32">
        <f>H211*(1-0)</f>
        <v>0</v>
      </c>
      <c r="AQ211" s="27" t="s">
        <v>13</v>
      </c>
      <c r="AV211" s="32">
        <f>AW211+AX211</f>
        <v>0</v>
      </c>
      <c r="AW211" s="32">
        <f>G211*AO211</f>
        <v>0</v>
      </c>
      <c r="AX211" s="32">
        <f>G211*AP211</f>
        <v>0</v>
      </c>
      <c r="AY211" s="33" t="s">
        <v>659</v>
      </c>
      <c r="AZ211" s="33" t="s">
        <v>677</v>
      </c>
      <c r="BA211" s="28" t="s">
        <v>681</v>
      </c>
      <c r="BC211" s="32">
        <f>AW211+AX211</f>
        <v>0</v>
      </c>
      <c r="BD211" s="32">
        <f>H211/(100-BE211)*100</f>
        <v>0</v>
      </c>
      <c r="BE211" s="32">
        <v>0</v>
      </c>
      <c r="BF211" s="32">
        <f>209</f>
        <v>209</v>
      </c>
      <c r="BH211" s="15">
        <f>G211*AO211</f>
        <v>0</v>
      </c>
      <c r="BI211" s="15">
        <f>G211*AP211</f>
        <v>0</v>
      </c>
      <c r="BJ211" s="15">
        <f>G211*H211</f>
        <v>0</v>
      </c>
    </row>
    <row r="212" spans="1:62" x14ac:dyDescent="0.2">
      <c r="C212" s="58" t="s">
        <v>451</v>
      </c>
      <c r="D212" s="59"/>
      <c r="E212" s="59"/>
      <c r="G212" s="16">
        <v>2</v>
      </c>
    </row>
    <row r="213" spans="1:62" x14ac:dyDescent="0.2">
      <c r="A213" s="4" t="s">
        <v>70</v>
      </c>
      <c r="B213" s="4" t="s">
        <v>199</v>
      </c>
      <c r="C213" s="60" t="s">
        <v>452</v>
      </c>
      <c r="D213" s="61"/>
      <c r="E213" s="61"/>
      <c r="F213" s="4" t="s">
        <v>618</v>
      </c>
      <c r="G213" s="15">
        <v>3.075E-2</v>
      </c>
      <c r="H213" s="15">
        <v>0</v>
      </c>
      <c r="I213" s="15">
        <f>G213*AO213</f>
        <v>0</v>
      </c>
      <c r="J213" s="15">
        <f>G213*AP213</f>
        <v>0</v>
      </c>
      <c r="K213" s="15">
        <f>G213*H213</f>
        <v>0</v>
      </c>
      <c r="L213" s="27" t="s">
        <v>636</v>
      </c>
      <c r="Z213" s="32">
        <f>IF(AQ213="5",BJ213,0)</f>
        <v>0</v>
      </c>
      <c r="AB213" s="32">
        <f>IF(AQ213="1",BH213,0)</f>
        <v>0</v>
      </c>
      <c r="AC213" s="32">
        <f>IF(AQ213="1",BI213,0)</f>
        <v>0</v>
      </c>
      <c r="AD213" s="32">
        <f>IF(AQ213="7",BH213,0)</f>
        <v>0</v>
      </c>
      <c r="AE213" s="32">
        <f>IF(AQ213="7",BI213,0)</f>
        <v>0</v>
      </c>
      <c r="AF213" s="32">
        <f>IF(AQ213="2",BH213,0)</f>
        <v>0</v>
      </c>
      <c r="AG213" s="32">
        <f>IF(AQ213="2",BI213,0)</f>
        <v>0</v>
      </c>
      <c r="AH213" s="32">
        <f>IF(AQ213="0",BJ213,0)</f>
        <v>0</v>
      </c>
      <c r="AI213" s="28"/>
      <c r="AJ213" s="15">
        <f>IF(AN213=0,K213,0)</f>
        <v>0</v>
      </c>
      <c r="AK213" s="15">
        <f>IF(AN213=15,K213,0)</f>
        <v>0</v>
      </c>
      <c r="AL213" s="15">
        <f>IF(AN213=21,K213,0)</f>
        <v>0</v>
      </c>
      <c r="AN213" s="32">
        <v>21</v>
      </c>
      <c r="AO213" s="32">
        <f>H213*0</f>
        <v>0</v>
      </c>
      <c r="AP213" s="32">
        <f>H213*(1-0)</f>
        <v>0</v>
      </c>
      <c r="AQ213" s="27" t="s">
        <v>11</v>
      </c>
      <c r="AV213" s="32">
        <f>AW213+AX213</f>
        <v>0</v>
      </c>
      <c r="AW213" s="32">
        <f>G213*AO213</f>
        <v>0</v>
      </c>
      <c r="AX213" s="32">
        <f>G213*AP213</f>
        <v>0</v>
      </c>
      <c r="AY213" s="33" t="s">
        <v>659</v>
      </c>
      <c r="AZ213" s="33" t="s">
        <v>677</v>
      </c>
      <c r="BA213" s="28" t="s">
        <v>681</v>
      </c>
      <c r="BC213" s="32">
        <f>AW213+AX213</f>
        <v>0</v>
      </c>
      <c r="BD213" s="32">
        <f>H213/(100-BE213)*100</f>
        <v>0</v>
      </c>
      <c r="BE213" s="32">
        <v>0</v>
      </c>
      <c r="BF213" s="32">
        <f>211</f>
        <v>211</v>
      </c>
      <c r="BH213" s="15">
        <f>G213*AO213</f>
        <v>0</v>
      </c>
      <c r="BI213" s="15">
        <f>G213*AP213</f>
        <v>0</v>
      </c>
      <c r="BJ213" s="15">
        <f>G213*H213</f>
        <v>0</v>
      </c>
    </row>
    <row r="214" spans="1:62" x14ac:dyDescent="0.2">
      <c r="C214" s="58" t="s">
        <v>453</v>
      </c>
      <c r="D214" s="59"/>
      <c r="E214" s="59"/>
      <c r="G214" s="16">
        <v>3.075E-2</v>
      </c>
    </row>
    <row r="215" spans="1:62" x14ac:dyDescent="0.2">
      <c r="A215" s="5"/>
      <c r="B215" s="13" t="s">
        <v>200</v>
      </c>
      <c r="C215" s="66" t="s">
        <v>454</v>
      </c>
      <c r="D215" s="67"/>
      <c r="E215" s="67"/>
      <c r="F215" s="5" t="s">
        <v>6</v>
      </c>
      <c r="G215" s="5" t="s">
        <v>6</v>
      </c>
      <c r="H215" s="5" t="s">
        <v>6</v>
      </c>
      <c r="I215" s="35">
        <f>SUM(I216:I223)</f>
        <v>0</v>
      </c>
      <c r="J215" s="35">
        <f>SUM(J216:J223)</f>
        <v>0</v>
      </c>
      <c r="K215" s="35">
        <f>SUM(K216:K223)</f>
        <v>0</v>
      </c>
      <c r="L215" s="28"/>
      <c r="AI215" s="28"/>
      <c r="AS215" s="35">
        <f>SUM(AJ216:AJ223)</f>
        <v>0</v>
      </c>
      <c r="AT215" s="35">
        <f>SUM(AK216:AK223)</f>
        <v>0</v>
      </c>
      <c r="AU215" s="35">
        <f>SUM(AL216:AL223)</f>
        <v>0</v>
      </c>
    </row>
    <row r="216" spans="1:62" x14ac:dyDescent="0.2">
      <c r="A216" s="4" t="s">
        <v>71</v>
      </c>
      <c r="B216" s="4" t="s">
        <v>201</v>
      </c>
      <c r="C216" s="60" t="s">
        <v>455</v>
      </c>
      <c r="D216" s="61"/>
      <c r="E216" s="61"/>
      <c r="F216" s="4" t="s">
        <v>613</v>
      </c>
      <c r="G216" s="15">
        <v>775</v>
      </c>
      <c r="H216" s="15">
        <v>0</v>
      </c>
      <c r="I216" s="15">
        <f>G216*AO216</f>
        <v>0</v>
      </c>
      <c r="J216" s="15">
        <f>G216*AP216</f>
        <v>0</v>
      </c>
      <c r="K216" s="15">
        <f>G216*H216</f>
        <v>0</v>
      </c>
      <c r="L216" s="27" t="s">
        <v>637</v>
      </c>
      <c r="Z216" s="32">
        <f>IF(AQ216="5",BJ216,0)</f>
        <v>0</v>
      </c>
      <c r="AB216" s="32">
        <f>IF(AQ216="1",BH216,0)</f>
        <v>0</v>
      </c>
      <c r="AC216" s="32">
        <f>IF(AQ216="1",BI216,0)</f>
        <v>0</v>
      </c>
      <c r="AD216" s="32">
        <f>IF(AQ216="7",BH216,0)</f>
        <v>0</v>
      </c>
      <c r="AE216" s="32">
        <f>IF(AQ216="7",BI216,0)</f>
        <v>0</v>
      </c>
      <c r="AF216" s="32">
        <f>IF(AQ216="2",BH216,0)</f>
        <v>0</v>
      </c>
      <c r="AG216" s="32">
        <f>IF(AQ216="2",BI216,0)</f>
        <v>0</v>
      </c>
      <c r="AH216" s="32">
        <f>IF(AQ216="0",BJ216,0)</f>
        <v>0</v>
      </c>
      <c r="AI216" s="28"/>
      <c r="AJ216" s="15">
        <f>IF(AN216=0,K216,0)</f>
        <v>0</v>
      </c>
      <c r="AK216" s="15">
        <f>IF(AN216=15,K216,0)</f>
        <v>0</v>
      </c>
      <c r="AL216" s="15">
        <f>IF(AN216=21,K216,0)</f>
        <v>0</v>
      </c>
      <c r="AN216" s="32">
        <v>21</v>
      </c>
      <c r="AO216" s="32">
        <f>H216*0.026806091539068</f>
        <v>0</v>
      </c>
      <c r="AP216" s="32">
        <f>H216*(1-0.026806091539068)</f>
        <v>0</v>
      </c>
      <c r="AQ216" s="27" t="s">
        <v>13</v>
      </c>
      <c r="AV216" s="32">
        <f>AW216+AX216</f>
        <v>0</v>
      </c>
      <c r="AW216" s="32">
        <f>G216*AO216</f>
        <v>0</v>
      </c>
      <c r="AX216" s="32">
        <f>G216*AP216</f>
        <v>0</v>
      </c>
      <c r="AY216" s="33" t="s">
        <v>660</v>
      </c>
      <c r="AZ216" s="33" t="s">
        <v>678</v>
      </c>
      <c r="BA216" s="28" t="s">
        <v>681</v>
      </c>
      <c r="BC216" s="32">
        <f>AW216+AX216</f>
        <v>0</v>
      </c>
      <c r="BD216" s="32">
        <f>H216/(100-BE216)*100</f>
        <v>0</v>
      </c>
      <c r="BE216" s="32">
        <v>0</v>
      </c>
      <c r="BF216" s="32">
        <f>214</f>
        <v>214</v>
      </c>
      <c r="BH216" s="15">
        <f>G216*AO216</f>
        <v>0</v>
      </c>
      <c r="BI216" s="15">
        <f>G216*AP216</f>
        <v>0</v>
      </c>
      <c r="BJ216" s="15">
        <f>G216*H216</f>
        <v>0</v>
      </c>
    </row>
    <row r="217" spans="1:62" x14ac:dyDescent="0.2">
      <c r="C217" s="58" t="s">
        <v>456</v>
      </c>
      <c r="D217" s="59"/>
      <c r="E217" s="59"/>
      <c r="G217" s="16">
        <v>775</v>
      </c>
    </row>
    <row r="218" spans="1:62" x14ac:dyDescent="0.2">
      <c r="A218" s="6" t="s">
        <v>72</v>
      </c>
      <c r="B218" s="6" t="s">
        <v>202</v>
      </c>
      <c r="C218" s="68" t="s">
        <v>457</v>
      </c>
      <c r="D218" s="69"/>
      <c r="E218" s="69"/>
      <c r="F218" s="6" t="s">
        <v>613</v>
      </c>
      <c r="G218" s="17">
        <v>837</v>
      </c>
      <c r="H218" s="17">
        <v>0</v>
      </c>
      <c r="I218" s="17">
        <f>G218*AO218</f>
        <v>0</v>
      </c>
      <c r="J218" s="17">
        <f>G218*AP218</f>
        <v>0</v>
      </c>
      <c r="K218" s="17">
        <f>G218*H218</f>
        <v>0</v>
      </c>
      <c r="L218" s="29" t="s">
        <v>637</v>
      </c>
      <c r="Z218" s="32">
        <f>IF(AQ218="5",BJ218,0)</f>
        <v>0</v>
      </c>
      <c r="AB218" s="32">
        <f>IF(AQ218="1",BH218,0)</f>
        <v>0</v>
      </c>
      <c r="AC218" s="32">
        <f>IF(AQ218="1",BI218,0)</f>
        <v>0</v>
      </c>
      <c r="AD218" s="32">
        <f>IF(AQ218="7",BH218,0)</f>
        <v>0</v>
      </c>
      <c r="AE218" s="32">
        <f>IF(AQ218="7",BI218,0)</f>
        <v>0</v>
      </c>
      <c r="AF218" s="32">
        <f>IF(AQ218="2",BH218,0)</f>
        <v>0</v>
      </c>
      <c r="AG218" s="32">
        <f>IF(AQ218="2",BI218,0)</f>
        <v>0</v>
      </c>
      <c r="AH218" s="32">
        <f>IF(AQ218="0",BJ218,0)</f>
        <v>0</v>
      </c>
      <c r="AI218" s="28"/>
      <c r="AJ218" s="17">
        <f>IF(AN218=0,K218,0)</f>
        <v>0</v>
      </c>
      <c r="AK218" s="17">
        <f>IF(AN218=15,K218,0)</f>
        <v>0</v>
      </c>
      <c r="AL218" s="17">
        <f>IF(AN218=21,K218,0)</f>
        <v>0</v>
      </c>
      <c r="AN218" s="32">
        <v>21</v>
      </c>
      <c r="AO218" s="32">
        <f>H218*1</f>
        <v>0</v>
      </c>
      <c r="AP218" s="32">
        <f>H218*(1-1)</f>
        <v>0</v>
      </c>
      <c r="AQ218" s="29" t="s">
        <v>13</v>
      </c>
      <c r="AV218" s="32">
        <f>AW218+AX218</f>
        <v>0</v>
      </c>
      <c r="AW218" s="32">
        <f>G218*AO218</f>
        <v>0</v>
      </c>
      <c r="AX218" s="32">
        <f>G218*AP218</f>
        <v>0</v>
      </c>
      <c r="AY218" s="33" t="s">
        <v>660</v>
      </c>
      <c r="AZ218" s="33" t="s">
        <v>678</v>
      </c>
      <c r="BA218" s="28" t="s">
        <v>681</v>
      </c>
      <c r="BC218" s="32">
        <f>AW218+AX218</f>
        <v>0</v>
      </c>
      <c r="BD218" s="32">
        <f>H218/(100-BE218)*100</f>
        <v>0</v>
      </c>
      <c r="BE218" s="32">
        <v>0</v>
      </c>
      <c r="BF218" s="32">
        <f>216</f>
        <v>216</v>
      </c>
      <c r="BH218" s="17">
        <f>G218*AO218</f>
        <v>0</v>
      </c>
      <c r="BI218" s="17">
        <f>G218*AP218</f>
        <v>0</v>
      </c>
      <c r="BJ218" s="17">
        <f>G218*H218</f>
        <v>0</v>
      </c>
    </row>
    <row r="219" spans="1:62" x14ac:dyDescent="0.2">
      <c r="C219" s="58" t="s">
        <v>456</v>
      </c>
      <c r="D219" s="59"/>
      <c r="E219" s="59"/>
      <c r="G219" s="16">
        <v>775</v>
      </c>
    </row>
    <row r="220" spans="1:62" x14ac:dyDescent="0.2">
      <c r="C220" s="58" t="s">
        <v>458</v>
      </c>
      <c r="D220" s="59"/>
      <c r="E220" s="59"/>
      <c r="G220" s="16">
        <v>62</v>
      </c>
    </row>
    <row r="221" spans="1:62" x14ac:dyDescent="0.2">
      <c r="A221" s="4" t="s">
        <v>73</v>
      </c>
      <c r="B221" s="4" t="s">
        <v>203</v>
      </c>
      <c r="C221" s="60" t="s">
        <v>459</v>
      </c>
      <c r="D221" s="61"/>
      <c r="E221" s="61"/>
      <c r="F221" s="4" t="s">
        <v>613</v>
      </c>
      <c r="G221" s="15">
        <v>837</v>
      </c>
      <c r="H221" s="15">
        <v>0</v>
      </c>
      <c r="I221" s="15">
        <f>G221*AO221</f>
        <v>0</v>
      </c>
      <c r="J221" s="15">
        <f>G221*AP221</f>
        <v>0</v>
      </c>
      <c r="K221" s="15">
        <f>G221*H221</f>
        <v>0</v>
      </c>
      <c r="L221" s="27" t="s">
        <v>637</v>
      </c>
      <c r="Z221" s="32">
        <f>IF(AQ221="5",BJ221,0)</f>
        <v>0</v>
      </c>
      <c r="AB221" s="32">
        <f>IF(AQ221="1",BH221,0)</f>
        <v>0</v>
      </c>
      <c r="AC221" s="32">
        <f>IF(AQ221="1",BI221,0)</f>
        <v>0</v>
      </c>
      <c r="AD221" s="32">
        <f>IF(AQ221="7",BH221,0)</f>
        <v>0</v>
      </c>
      <c r="AE221" s="32">
        <f>IF(AQ221="7",BI221,0)</f>
        <v>0</v>
      </c>
      <c r="AF221" s="32">
        <f>IF(AQ221="2",BH221,0)</f>
        <v>0</v>
      </c>
      <c r="AG221" s="32">
        <f>IF(AQ221="2",BI221,0)</f>
        <v>0</v>
      </c>
      <c r="AH221" s="32">
        <f>IF(AQ221="0",BJ221,0)</f>
        <v>0</v>
      </c>
      <c r="AI221" s="28"/>
      <c r="AJ221" s="15">
        <f>IF(AN221=0,K221,0)</f>
        <v>0</v>
      </c>
      <c r="AK221" s="15">
        <f>IF(AN221=15,K221,0)</f>
        <v>0</v>
      </c>
      <c r="AL221" s="15">
        <f>IF(AN221=21,K221,0)</f>
        <v>0</v>
      </c>
      <c r="AN221" s="32">
        <v>21</v>
      </c>
      <c r="AO221" s="32">
        <f>H221*0.286421464283946</f>
        <v>0</v>
      </c>
      <c r="AP221" s="32">
        <f>H221*(1-0.286421464283946)</f>
        <v>0</v>
      </c>
      <c r="AQ221" s="27" t="s">
        <v>13</v>
      </c>
      <c r="AV221" s="32">
        <f>AW221+AX221</f>
        <v>0</v>
      </c>
      <c r="AW221" s="32">
        <f>G221*AO221</f>
        <v>0</v>
      </c>
      <c r="AX221" s="32">
        <f>G221*AP221</f>
        <v>0</v>
      </c>
      <c r="AY221" s="33" t="s">
        <v>660</v>
      </c>
      <c r="AZ221" s="33" t="s">
        <v>678</v>
      </c>
      <c r="BA221" s="28" t="s">
        <v>681</v>
      </c>
      <c r="BC221" s="32">
        <f>AW221+AX221</f>
        <v>0</v>
      </c>
      <c r="BD221" s="32">
        <f>H221/(100-BE221)*100</f>
        <v>0</v>
      </c>
      <c r="BE221" s="32">
        <v>0</v>
      </c>
      <c r="BF221" s="32">
        <f>219</f>
        <v>219</v>
      </c>
      <c r="BH221" s="15">
        <f>G221*AO221</f>
        <v>0</v>
      </c>
      <c r="BI221" s="15">
        <f>G221*AP221</f>
        <v>0</v>
      </c>
      <c r="BJ221" s="15">
        <f>G221*H221</f>
        <v>0</v>
      </c>
    </row>
    <row r="222" spans="1:62" x14ac:dyDescent="0.2">
      <c r="C222" s="58" t="s">
        <v>460</v>
      </c>
      <c r="D222" s="59"/>
      <c r="E222" s="59"/>
      <c r="G222" s="16">
        <v>837</v>
      </c>
    </row>
    <row r="223" spans="1:62" x14ac:dyDescent="0.2">
      <c r="A223" s="4" t="s">
        <v>74</v>
      </c>
      <c r="B223" s="4" t="s">
        <v>204</v>
      </c>
      <c r="C223" s="60" t="s">
        <v>461</v>
      </c>
      <c r="D223" s="61"/>
      <c r="E223" s="61"/>
      <c r="F223" s="4" t="s">
        <v>618</v>
      </c>
      <c r="G223" s="15">
        <v>15.93028</v>
      </c>
      <c r="H223" s="15">
        <v>0</v>
      </c>
      <c r="I223" s="15">
        <f>G223*AO223</f>
        <v>0</v>
      </c>
      <c r="J223" s="15">
        <f>G223*AP223</f>
        <v>0</v>
      </c>
      <c r="K223" s="15">
        <f>G223*H223</f>
        <v>0</v>
      </c>
      <c r="L223" s="27" t="s">
        <v>637</v>
      </c>
      <c r="Z223" s="32">
        <f>IF(AQ223="5",BJ223,0)</f>
        <v>0</v>
      </c>
      <c r="AB223" s="32">
        <f>IF(AQ223="1",BH223,0)</f>
        <v>0</v>
      </c>
      <c r="AC223" s="32">
        <f>IF(AQ223="1",BI223,0)</f>
        <v>0</v>
      </c>
      <c r="AD223" s="32">
        <f>IF(AQ223="7",BH223,0)</f>
        <v>0</v>
      </c>
      <c r="AE223" s="32">
        <f>IF(AQ223="7",BI223,0)</f>
        <v>0</v>
      </c>
      <c r="AF223" s="32">
        <f>IF(AQ223="2",BH223,0)</f>
        <v>0</v>
      </c>
      <c r="AG223" s="32">
        <f>IF(AQ223="2",BI223,0)</f>
        <v>0</v>
      </c>
      <c r="AH223" s="32">
        <f>IF(AQ223="0",BJ223,0)</f>
        <v>0</v>
      </c>
      <c r="AI223" s="28"/>
      <c r="AJ223" s="15">
        <f>IF(AN223=0,K223,0)</f>
        <v>0</v>
      </c>
      <c r="AK223" s="15">
        <f>IF(AN223=15,K223,0)</f>
        <v>0</v>
      </c>
      <c r="AL223" s="15">
        <f>IF(AN223=21,K223,0)</f>
        <v>0</v>
      </c>
      <c r="AN223" s="32">
        <v>21</v>
      </c>
      <c r="AO223" s="32">
        <f>H223*0</f>
        <v>0</v>
      </c>
      <c r="AP223" s="32">
        <f>H223*(1-0)</f>
        <v>0</v>
      </c>
      <c r="AQ223" s="27" t="s">
        <v>11</v>
      </c>
      <c r="AV223" s="32">
        <f>AW223+AX223</f>
        <v>0</v>
      </c>
      <c r="AW223" s="32">
        <f>G223*AO223</f>
        <v>0</v>
      </c>
      <c r="AX223" s="32">
        <f>G223*AP223</f>
        <v>0</v>
      </c>
      <c r="AY223" s="33" t="s">
        <v>660</v>
      </c>
      <c r="AZ223" s="33" t="s">
        <v>678</v>
      </c>
      <c r="BA223" s="28" t="s">
        <v>681</v>
      </c>
      <c r="BC223" s="32">
        <f>AW223+AX223</f>
        <v>0</v>
      </c>
      <c r="BD223" s="32">
        <f>H223/(100-BE223)*100</f>
        <v>0</v>
      </c>
      <c r="BE223" s="32">
        <v>0</v>
      </c>
      <c r="BF223" s="32">
        <f>221</f>
        <v>221</v>
      </c>
      <c r="BH223" s="15">
        <f>G223*AO223</f>
        <v>0</v>
      </c>
      <c r="BI223" s="15">
        <f>G223*AP223</f>
        <v>0</v>
      </c>
      <c r="BJ223" s="15">
        <f>G223*H223</f>
        <v>0</v>
      </c>
    </row>
    <row r="224" spans="1:62" x14ac:dyDescent="0.2">
      <c r="C224" s="58" t="s">
        <v>462</v>
      </c>
      <c r="D224" s="59"/>
      <c r="E224" s="59"/>
      <c r="G224" s="16">
        <v>15.93028</v>
      </c>
    </row>
    <row r="225" spans="1:62" x14ac:dyDescent="0.2">
      <c r="A225" s="5"/>
      <c r="B225" s="13" t="s">
        <v>205</v>
      </c>
      <c r="C225" s="66" t="s">
        <v>463</v>
      </c>
      <c r="D225" s="67"/>
      <c r="E225" s="67"/>
      <c r="F225" s="5" t="s">
        <v>6</v>
      </c>
      <c r="G225" s="5" t="s">
        <v>6</v>
      </c>
      <c r="H225" s="5" t="s">
        <v>6</v>
      </c>
      <c r="I225" s="35">
        <f>SUM(I226:I230)</f>
        <v>0</v>
      </c>
      <c r="J225" s="35">
        <f>SUM(J226:J230)</f>
        <v>0</v>
      </c>
      <c r="K225" s="35">
        <f>SUM(K226:K230)</f>
        <v>0</v>
      </c>
      <c r="L225" s="28"/>
      <c r="AI225" s="28"/>
      <c r="AS225" s="35">
        <f>SUM(AJ226:AJ230)</f>
        <v>0</v>
      </c>
      <c r="AT225" s="35">
        <f>SUM(AK226:AK230)</f>
        <v>0</v>
      </c>
      <c r="AU225" s="35">
        <f>SUM(AL226:AL230)</f>
        <v>0</v>
      </c>
    </row>
    <row r="226" spans="1:62" x14ac:dyDescent="0.2">
      <c r="A226" s="4" t="s">
        <v>75</v>
      </c>
      <c r="B226" s="4" t="s">
        <v>206</v>
      </c>
      <c r="C226" s="60" t="s">
        <v>464</v>
      </c>
      <c r="D226" s="61"/>
      <c r="E226" s="61"/>
      <c r="F226" s="4" t="s">
        <v>613</v>
      </c>
      <c r="G226" s="15">
        <v>61.6</v>
      </c>
      <c r="H226" s="15">
        <v>0</v>
      </c>
      <c r="I226" s="15">
        <f>G226*AO226</f>
        <v>0</v>
      </c>
      <c r="J226" s="15">
        <f>G226*AP226</f>
        <v>0</v>
      </c>
      <c r="K226" s="15">
        <f>G226*H226</f>
        <v>0</v>
      </c>
      <c r="L226" s="27" t="s">
        <v>636</v>
      </c>
      <c r="Z226" s="32">
        <f>IF(AQ226="5",BJ226,0)</f>
        <v>0</v>
      </c>
      <c r="AB226" s="32">
        <f>IF(AQ226="1",BH226,0)</f>
        <v>0</v>
      </c>
      <c r="AC226" s="32">
        <f>IF(AQ226="1",BI226,0)</f>
        <v>0</v>
      </c>
      <c r="AD226" s="32">
        <f>IF(AQ226="7",BH226,0)</f>
        <v>0</v>
      </c>
      <c r="AE226" s="32">
        <f>IF(AQ226="7",BI226,0)</f>
        <v>0</v>
      </c>
      <c r="AF226" s="32">
        <f>IF(AQ226="2",BH226,0)</f>
        <v>0</v>
      </c>
      <c r="AG226" s="32">
        <f>IF(AQ226="2",BI226,0)</f>
        <v>0</v>
      </c>
      <c r="AH226" s="32">
        <f>IF(AQ226="0",BJ226,0)</f>
        <v>0</v>
      </c>
      <c r="AI226" s="28"/>
      <c r="AJ226" s="15">
        <f>IF(AN226=0,K226,0)</f>
        <v>0</v>
      </c>
      <c r="AK226" s="15">
        <f>IF(AN226=15,K226,0)</f>
        <v>0</v>
      </c>
      <c r="AL226" s="15">
        <f>IF(AN226=21,K226,0)</f>
        <v>0</v>
      </c>
      <c r="AN226" s="32">
        <v>21</v>
      </c>
      <c r="AO226" s="32">
        <f>H226*0.00829090909090909</f>
        <v>0</v>
      </c>
      <c r="AP226" s="32">
        <f>H226*(1-0.00829090909090909)</f>
        <v>0</v>
      </c>
      <c r="AQ226" s="27" t="s">
        <v>13</v>
      </c>
      <c r="AV226" s="32">
        <f>AW226+AX226</f>
        <v>0</v>
      </c>
      <c r="AW226" s="32">
        <f>G226*AO226</f>
        <v>0</v>
      </c>
      <c r="AX226" s="32">
        <f>G226*AP226</f>
        <v>0</v>
      </c>
      <c r="AY226" s="33" t="s">
        <v>661</v>
      </c>
      <c r="AZ226" s="33" t="s">
        <v>678</v>
      </c>
      <c r="BA226" s="28" t="s">
        <v>681</v>
      </c>
      <c r="BC226" s="32">
        <f>AW226+AX226</f>
        <v>0</v>
      </c>
      <c r="BD226" s="32">
        <f>H226/(100-BE226)*100</f>
        <v>0</v>
      </c>
      <c r="BE226" s="32">
        <v>0</v>
      </c>
      <c r="BF226" s="32">
        <f>224</f>
        <v>224</v>
      </c>
      <c r="BH226" s="15">
        <f>G226*AO226</f>
        <v>0</v>
      </c>
      <c r="BI226" s="15">
        <f>G226*AP226</f>
        <v>0</v>
      </c>
      <c r="BJ226" s="15">
        <f>G226*H226</f>
        <v>0</v>
      </c>
    </row>
    <row r="227" spans="1:62" x14ac:dyDescent="0.2">
      <c r="C227" s="58" t="s">
        <v>465</v>
      </c>
      <c r="D227" s="59"/>
      <c r="E227" s="59"/>
      <c r="G227" s="16">
        <v>61.6</v>
      </c>
    </row>
    <row r="228" spans="1:62" x14ac:dyDescent="0.2">
      <c r="A228" s="6" t="s">
        <v>76</v>
      </c>
      <c r="B228" s="6" t="s">
        <v>207</v>
      </c>
      <c r="C228" s="68" t="s">
        <v>466</v>
      </c>
      <c r="D228" s="69"/>
      <c r="E228" s="69"/>
      <c r="F228" s="6" t="s">
        <v>613</v>
      </c>
      <c r="G228" s="17">
        <v>67.760000000000005</v>
      </c>
      <c r="H228" s="17">
        <v>0</v>
      </c>
      <c r="I228" s="17">
        <f>G228*AO228</f>
        <v>0</v>
      </c>
      <c r="J228" s="17">
        <f>G228*AP228</f>
        <v>0</v>
      </c>
      <c r="K228" s="17">
        <f>G228*H228</f>
        <v>0</v>
      </c>
      <c r="L228" s="29" t="s">
        <v>636</v>
      </c>
      <c r="Z228" s="32">
        <f>IF(AQ228="5",BJ228,0)</f>
        <v>0</v>
      </c>
      <c r="AB228" s="32">
        <f>IF(AQ228="1",BH228,0)</f>
        <v>0</v>
      </c>
      <c r="AC228" s="32">
        <f>IF(AQ228="1",BI228,0)</f>
        <v>0</v>
      </c>
      <c r="AD228" s="32">
        <f>IF(AQ228="7",BH228,0)</f>
        <v>0</v>
      </c>
      <c r="AE228" s="32">
        <f>IF(AQ228="7",BI228,0)</f>
        <v>0</v>
      </c>
      <c r="AF228" s="32">
        <f>IF(AQ228="2",BH228,0)</f>
        <v>0</v>
      </c>
      <c r="AG228" s="32">
        <f>IF(AQ228="2",BI228,0)</f>
        <v>0</v>
      </c>
      <c r="AH228" s="32">
        <f>IF(AQ228="0",BJ228,0)</f>
        <v>0</v>
      </c>
      <c r="AI228" s="28"/>
      <c r="AJ228" s="17">
        <f>IF(AN228=0,K228,0)</f>
        <v>0</v>
      </c>
      <c r="AK228" s="17">
        <f>IF(AN228=15,K228,0)</f>
        <v>0</v>
      </c>
      <c r="AL228" s="17">
        <f>IF(AN228=21,K228,0)</f>
        <v>0</v>
      </c>
      <c r="AN228" s="32">
        <v>21</v>
      </c>
      <c r="AO228" s="32">
        <f>H228*1</f>
        <v>0</v>
      </c>
      <c r="AP228" s="32">
        <f>H228*(1-1)</f>
        <v>0</v>
      </c>
      <c r="AQ228" s="29" t="s">
        <v>13</v>
      </c>
      <c r="AV228" s="32">
        <f>AW228+AX228</f>
        <v>0</v>
      </c>
      <c r="AW228" s="32">
        <f>G228*AO228</f>
        <v>0</v>
      </c>
      <c r="AX228" s="32">
        <f>G228*AP228</f>
        <v>0</v>
      </c>
      <c r="AY228" s="33" t="s">
        <v>661</v>
      </c>
      <c r="AZ228" s="33" t="s">
        <v>678</v>
      </c>
      <c r="BA228" s="28" t="s">
        <v>681</v>
      </c>
      <c r="BC228" s="32">
        <f>AW228+AX228</f>
        <v>0</v>
      </c>
      <c r="BD228" s="32">
        <f>H228/(100-BE228)*100</f>
        <v>0</v>
      </c>
      <c r="BE228" s="32">
        <v>0</v>
      </c>
      <c r="BF228" s="32">
        <f>226</f>
        <v>226</v>
      </c>
      <c r="BH228" s="17">
        <f>G228*AO228</f>
        <v>0</v>
      </c>
      <c r="BI228" s="17">
        <f>G228*AP228</f>
        <v>0</v>
      </c>
      <c r="BJ228" s="17">
        <f>G228*H228</f>
        <v>0</v>
      </c>
    </row>
    <row r="229" spans="1:62" x14ac:dyDescent="0.2">
      <c r="C229" s="58" t="s">
        <v>467</v>
      </c>
      <c r="D229" s="59"/>
      <c r="E229" s="59"/>
      <c r="G229" s="16">
        <v>67.760000000000005</v>
      </c>
    </row>
    <row r="230" spans="1:62" x14ac:dyDescent="0.2">
      <c r="A230" s="4" t="s">
        <v>77</v>
      </c>
      <c r="B230" s="4" t="s">
        <v>208</v>
      </c>
      <c r="C230" s="60" t="s">
        <v>468</v>
      </c>
      <c r="D230" s="61"/>
      <c r="E230" s="61"/>
      <c r="F230" s="4" t="s">
        <v>618</v>
      </c>
      <c r="G230" s="15">
        <v>0.99853999999999998</v>
      </c>
      <c r="H230" s="15">
        <v>0</v>
      </c>
      <c r="I230" s="15">
        <f>G230*AO230</f>
        <v>0</v>
      </c>
      <c r="J230" s="15">
        <f>G230*AP230</f>
        <v>0</v>
      </c>
      <c r="K230" s="15">
        <f>G230*H230</f>
        <v>0</v>
      </c>
      <c r="L230" s="27" t="s">
        <v>636</v>
      </c>
      <c r="Z230" s="32">
        <f>IF(AQ230="5",BJ230,0)</f>
        <v>0</v>
      </c>
      <c r="AB230" s="32">
        <f>IF(AQ230="1",BH230,0)</f>
        <v>0</v>
      </c>
      <c r="AC230" s="32">
        <f>IF(AQ230="1",BI230,0)</f>
        <v>0</v>
      </c>
      <c r="AD230" s="32">
        <f>IF(AQ230="7",BH230,0)</f>
        <v>0</v>
      </c>
      <c r="AE230" s="32">
        <f>IF(AQ230="7",BI230,0)</f>
        <v>0</v>
      </c>
      <c r="AF230" s="32">
        <f>IF(AQ230="2",BH230,0)</f>
        <v>0</v>
      </c>
      <c r="AG230" s="32">
        <f>IF(AQ230="2",BI230,0)</f>
        <v>0</v>
      </c>
      <c r="AH230" s="32">
        <f>IF(AQ230="0",BJ230,0)</f>
        <v>0</v>
      </c>
      <c r="AI230" s="28"/>
      <c r="AJ230" s="15">
        <f>IF(AN230=0,K230,0)</f>
        <v>0</v>
      </c>
      <c r="AK230" s="15">
        <f>IF(AN230=15,K230,0)</f>
        <v>0</v>
      </c>
      <c r="AL230" s="15">
        <f>IF(AN230=21,K230,0)</f>
        <v>0</v>
      </c>
      <c r="AN230" s="32">
        <v>21</v>
      </c>
      <c r="AO230" s="32">
        <f>H230*0</f>
        <v>0</v>
      </c>
      <c r="AP230" s="32">
        <f>H230*(1-0)</f>
        <v>0</v>
      </c>
      <c r="AQ230" s="27" t="s">
        <v>11</v>
      </c>
      <c r="AV230" s="32">
        <f>AW230+AX230</f>
        <v>0</v>
      </c>
      <c r="AW230" s="32">
        <f>G230*AO230</f>
        <v>0</v>
      </c>
      <c r="AX230" s="32">
        <f>G230*AP230</f>
        <v>0</v>
      </c>
      <c r="AY230" s="33" t="s">
        <v>661</v>
      </c>
      <c r="AZ230" s="33" t="s">
        <v>678</v>
      </c>
      <c r="BA230" s="28" t="s">
        <v>681</v>
      </c>
      <c r="BC230" s="32">
        <f>AW230+AX230</f>
        <v>0</v>
      </c>
      <c r="BD230" s="32">
        <f>H230/(100-BE230)*100</f>
        <v>0</v>
      </c>
      <c r="BE230" s="32">
        <v>0</v>
      </c>
      <c r="BF230" s="32">
        <f>228</f>
        <v>228</v>
      </c>
      <c r="BH230" s="15">
        <f>G230*AO230</f>
        <v>0</v>
      </c>
      <c r="BI230" s="15">
        <f>G230*AP230</f>
        <v>0</v>
      </c>
      <c r="BJ230" s="15">
        <f>G230*H230</f>
        <v>0</v>
      </c>
    </row>
    <row r="231" spans="1:62" x14ac:dyDescent="0.2">
      <c r="C231" s="58" t="s">
        <v>469</v>
      </c>
      <c r="D231" s="59"/>
      <c r="E231" s="59"/>
      <c r="G231" s="16">
        <v>0.99853999999999998</v>
      </c>
    </row>
    <row r="232" spans="1:62" x14ac:dyDescent="0.2">
      <c r="A232" s="5"/>
      <c r="B232" s="13" t="s">
        <v>209</v>
      </c>
      <c r="C232" s="66" t="s">
        <v>470</v>
      </c>
      <c r="D232" s="67"/>
      <c r="E232" s="67"/>
      <c r="F232" s="5" t="s">
        <v>6</v>
      </c>
      <c r="G232" s="5" t="s">
        <v>6</v>
      </c>
      <c r="H232" s="5" t="s">
        <v>6</v>
      </c>
      <c r="I232" s="35">
        <f>SUM(I233:I253)</f>
        <v>0</v>
      </c>
      <c r="J232" s="35">
        <f>SUM(J233:J253)</f>
        <v>0</v>
      </c>
      <c r="K232" s="35">
        <f>SUM(K233:K253)</f>
        <v>0</v>
      </c>
      <c r="L232" s="28"/>
      <c r="AI232" s="28"/>
      <c r="AS232" s="35">
        <f>SUM(AJ233:AJ253)</f>
        <v>0</v>
      </c>
      <c r="AT232" s="35">
        <f>SUM(AK233:AK253)</f>
        <v>0</v>
      </c>
      <c r="AU232" s="35">
        <f>SUM(AL233:AL253)</f>
        <v>0</v>
      </c>
    </row>
    <row r="233" spans="1:62" x14ac:dyDescent="0.2">
      <c r="A233" s="4" t="s">
        <v>78</v>
      </c>
      <c r="B233" s="4" t="s">
        <v>210</v>
      </c>
      <c r="C233" s="60" t="s">
        <v>471</v>
      </c>
      <c r="D233" s="61"/>
      <c r="E233" s="61"/>
      <c r="F233" s="4" t="s">
        <v>616</v>
      </c>
      <c r="G233" s="15">
        <v>51.3</v>
      </c>
      <c r="H233" s="15">
        <v>0</v>
      </c>
      <c r="I233" s="15">
        <f>G233*AO233</f>
        <v>0</v>
      </c>
      <c r="J233" s="15">
        <f>G233*AP233</f>
        <v>0</v>
      </c>
      <c r="K233" s="15">
        <f>G233*H233</f>
        <v>0</v>
      </c>
      <c r="L233" s="27" t="s">
        <v>636</v>
      </c>
      <c r="Z233" s="32">
        <f>IF(AQ233="5",BJ233,0)</f>
        <v>0</v>
      </c>
      <c r="AB233" s="32">
        <f>IF(AQ233="1",BH233,0)</f>
        <v>0</v>
      </c>
      <c r="AC233" s="32">
        <f>IF(AQ233="1",BI233,0)</f>
        <v>0</v>
      </c>
      <c r="AD233" s="32">
        <f>IF(AQ233="7",BH233,0)</f>
        <v>0</v>
      </c>
      <c r="AE233" s="32">
        <f>IF(AQ233="7",BI233,0)</f>
        <v>0</v>
      </c>
      <c r="AF233" s="32">
        <f>IF(AQ233="2",BH233,0)</f>
        <v>0</v>
      </c>
      <c r="AG233" s="32">
        <f>IF(AQ233="2",BI233,0)</f>
        <v>0</v>
      </c>
      <c r="AH233" s="32">
        <f>IF(AQ233="0",BJ233,0)</f>
        <v>0</v>
      </c>
      <c r="AI233" s="28"/>
      <c r="AJ233" s="15">
        <f>IF(AN233=0,K233,0)</f>
        <v>0</v>
      </c>
      <c r="AK233" s="15">
        <f>IF(AN233=15,K233,0)</f>
        <v>0</v>
      </c>
      <c r="AL233" s="15">
        <f>IF(AN233=21,K233,0)</f>
        <v>0</v>
      </c>
      <c r="AN233" s="32">
        <v>21</v>
      </c>
      <c r="AO233" s="32">
        <f>H233*0</f>
        <v>0</v>
      </c>
      <c r="AP233" s="32">
        <f>H233*(1-0)</f>
        <v>0</v>
      </c>
      <c r="AQ233" s="27" t="s">
        <v>13</v>
      </c>
      <c r="AV233" s="32">
        <f>AW233+AX233</f>
        <v>0</v>
      </c>
      <c r="AW233" s="32">
        <f>G233*AO233</f>
        <v>0</v>
      </c>
      <c r="AX233" s="32">
        <f>G233*AP233</f>
        <v>0</v>
      </c>
      <c r="AY233" s="33" t="s">
        <v>662</v>
      </c>
      <c r="AZ233" s="33" t="s">
        <v>678</v>
      </c>
      <c r="BA233" s="28" t="s">
        <v>681</v>
      </c>
      <c r="BC233" s="32">
        <f>AW233+AX233</f>
        <v>0</v>
      </c>
      <c r="BD233" s="32">
        <f>H233/(100-BE233)*100</f>
        <v>0</v>
      </c>
      <c r="BE233" s="32">
        <v>0</v>
      </c>
      <c r="BF233" s="32">
        <f>231</f>
        <v>231</v>
      </c>
      <c r="BH233" s="15">
        <f>G233*AO233</f>
        <v>0</v>
      </c>
      <c r="BI233" s="15">
        <f>G233*AP233</f>
        <v>0</v>
      </c>
      <c r="BJ233" s="15">
        <f>G233*H233</f>
        <v>0</v>
      </c>
    </row>
    <row r="234" spans="1:62" x14ac:dyDescent="0.2">
      <c r="C234" s="58" t="s">
        <v>472</v>
      </c>
      <c r="D234" s="59"/>
      <c r="E234" s="59"/>
      <c r="G234" s="16">
        <v>28.8</v>
      </c>
    </row>
    <row r="235" spans="1:62" x14ac:dyDescent="0.2">
      <c r="C235" s="58" t="s">
        <v>473</v>
      </c>
      <c r="D235" s="59"/>
      <c r="E235" s="59"/>
      <c r="G235" s="16">
        <v>8.1</v>
      </c>
    </row>
    <row r="236" spans="1:62" x14ac:dyDescent="0.2">
      <c r="C236" s="58" t="s">
        <v>474</v>
      </c>
      <c r="D236" s="59"/>
      <c r="E236" s="59"/>
      <c r="G236" s="16">
        <v>6.6</v>
      </c>
    </row>
    <row r="237" spans="1:62" x14ac:dyDescent="0.2">
      <c r="C237" s="58" t="s">
        <v>475</v>
      </c>
      <c r="D237" s="59"/>
      <c r="E237" s="59"/>
      <c r="G237" s="16">
        <v>4.8</v>
      </c>
    </row>
    <row r="238" spans="1:62" x14ac:dyDescent="0.2">
      <c r="C238" s="58" t="s">
        <v>476</v>
      </c>
      <c r="D238" s="59"/>
      <c r="E238" s="59"/>
      <c r="G238" s="16">
        <v>3</v>
      </c>
    </row>
    <row r="239" spans="1:62" x14ac:dyDescent="0.2">
      <c r="A239" s="4" t="s">
        <v>79</v>
      </c>
      <c r="B239" s="4" t="s">
        <v>211</v>
      </c>
      <c r="C239" s="60" t="s">
        <v>477</v>
      </c>
      <c r="D239" s="61"/>
      <c r="E239" s="61"/>
      <c r="F239" s="4" t="s">
        <v>616</v>
      </c>
      <c r="G239" s="15">
        <v>112</v>
      </c>
      <c r="H239" s="15">
        <v>0</v>
      </c>
      <c r="I239" s="15">
        <f>G239*AO239</f>
        <v>0</v>
      </c>
      <c r="J239" s="15">
        <f>G239*AP239</f>
        <v>0</v>
      </c>
      <c r="K239" s="15">
        <f>G239*H239</f>
        <v>0</v>
      </c>
      <c r="L239" s="27" t="s">
        <v>636</v>
      </c>
      <c r="Z239" s="32">
        <f>IF(AQ239="5",BJ239,0)</f>
        <v>0</v>
      </c>
      <c r="AB239" s="32">
        <f>IF(AQ239="1",BH239,0)</f>
        <v>0</v>
      </c>
      <c r="AC239" s="32">
        <f>IF(AQ239="1",BI239,0)</f>
        <v>0</v>
      </c>
      <c r="AD239" s="32">
        <f>IF(AQ239="7",BH239,0)</f>
        <v>0</v>
      </c>
      <c r="AE239" s="32">
        <f>IF(AQ239="7",BI239,0)</f>
        <v>0</v>
      </c>
      <c r="AF239" s="32">
        <f>IF(AQ239="2",BH239,0)</f>
        <v>0</v>
      </c>
      <c r="AG239" s="32">
        <f>IF(AQ239="2",BI239,0)</f>
        <v>0</v>
      </c>
      <c r="AH239" s="32">
        <f>IF(AQ239="0",BJ239,0)</f>
        <v>0</v>
      </c>
      <c r="AI239" s="28"/>
      <c r="AJ239" s="15">
        <f>IF(AN239=0,K239,0)</f>
        <v>0</v>
      </c>
      <c r="AK239" s="15">
        <f>IF(AN239=15,K239,0)</f>
        <v>0</v>
      </c>
      <c r="AL239" s="15">
        <f>IF(AN239=21,K239,0)</f>
        <v>0</v>
      </c>
      <c r="AN239" s="32">
        <v>21</v>
      </c>
      <c r="AO239" s="32">
        <f>H239*0</f>
        <v>0</v>
      </c>
      <c r="AP239" s="32">
        <f>H239*(1-0)</f>
        <v>0</v>
      </c>
      <c r="AQ239" s="27" t="s">
        <v>13</v>
      </c>
      <c r="AV239" s="32">
        <f>AW239+AX239</f>
        <v>0</v>
      </c>
      <c r="AW239" s="32">
        <f>G239*AO239</f>
        <v>0</v>
      </c>
      <c r="AX239" s="32">
        <f>G239*AP239</f>
        <v>0</v>
      </c>
      <c r="AY239" s="33" t="s">
        <v>662</v>
      </c>
      <c r="AZ239" s="33" t="s">
        <v>678</v>
      </c>
      <c r="BA239" s="28" t="s">
        <v>681</v>
      </c>
      <c r="BC239" s="32">
        <f>AW239+AX239</f>
        <v>0</v>
      </c>
      <c r="BD239" s="32">
        <f>H239/(100-BE239)*100</f>
        <v>0</v>
      </c>
      <c r="BE239" s="32">
        <v>0</v>
      </c>
      <c r="BF239" s="32">
        <f>237</f>
        <v>237</v>
      </c>
      <c r="BH239" s="15">
        <f>G239*AO239</f>
        <v>0</v>
      </c>
      <c r="BI239" s="15">
        <f>G239*AP239</f>
        <v>0</v>
      </c>
      <c r="BJ239" s="15">
        <f>G239*H239</f>
        <v>0</v>
      </c>
    </row>
    <row r="240" spans="1:62" x14ac:dyDescent="0.2">
      <c r="C240" s="58" t="s">
        <v>478</v>
      </c>
      <c r="D240" s="59"/>
      <c r="E240" s="59"/>
      <c r="G240" s="16">
        <v>112</v>
      </c>
    </row>
    <row r="241" spans="1:62" x14ac:dyDescent="0.2">
      <c r="A241" s="4" t="s">
        <v>80</v>
      </c>
      <c r="B241" s="4" t="s">
        <v>212</v>
      </c>
      <c r="C241" s="60" t="s">
        <v>479</v>
      </c>
      <c r="D241" s="61"/>
      <c r="E241" s="61"/>
      <c r="F241" s="4" t="s">
        <v>613</v>
      </c>
      <c r="G241" s="15">
        <v>1.1000000000000001</v>
      </c>
      <c r="H241" s="15">
        <v>0</v>
      </c>
      <c r="I241" s="15">
        <f>G241*AO241</f>
        <v>0</v>
      </c>
      <c r="J241" s="15">
        <f>G241*AP241</f>
        <v>0</v>
      </c>
      <c r="K241" s="15">
        <f>G241*H241</f>
        <v>0</v>
      </c>
      <c r="L241" s="27" t="s">
        <v>636</v>
      </c>
      <c r="Z241" s="32">
        <f>IF(AQ241="5",BJ241,0)</f>
        <v>0</v>
      </c>
      <c r="AB241" s="32">
        <f>IF(AQ241="1",BH241,0)</f>
        <v>0</v>
      </c>
      <c r="AC241" s="32">
        <f>IF(AQ241="1",BI241,0)</f>
        <v>0</v>
      </c>
      <c r="AD241" s="32">
        <f>IF(AQ241="7",BH241,0)</f>
        <v>0</v>
      </c>
      <c r="AE241" s="32">
        <f>IF(AQ241="7",BI241,0)</f>
        <v>0</v>
      </c>
      <c r="AF241" s="32">
        <f>IF(AQ241="2",BH241,0)</f>
        <v>0</v>
      </c>
      <c r="AG241" s="32">
        <f>IF(AQ241="2",BI241,0)</f>
        <v>0</v>
      </c>
      <c r="AH241" s="32">
        <f>IF(AQ241="0",BJ241,0)</f>
        <v>0</v>
      </c>
      <c r="AI241" s="28"/>
      <c r="AJ241" s="15">
        <f>IF(AN241=0,K241,0)</f>
        <v>0</v>
      </c>
      <c r="AK241" s="15">
        <f>IF(AN241=15,K241,0)</f>
        <v>0</v>
      </c>
      <c r="AL241" s="15">
        <f>IF(AN241=21,K241,0)</f>
        <v>0</v>
      </c>
      <c r="AN241" s="32">
        <v>21</v>
      </c>
      <c r="AO241" s="32">
        <f>H241*0</f>
        <v>0</v>
      </c>
      <c r="AP241" s="32">
        <f>H241*(1-0)</f>
        <v>0</v>
      </c>
      <c r="AQ241" s="27" t="s">
        <v>13</v>
      </c>
      <c r="AV241" s="32">
        <f>AW241+AX241</f>
        <v>0</v>
      </c>
      <c r="AW241" s="32">
        <f>G241*AO241</f>
        <v>0</v>
      </c>
      <c r="AX241" s="32">
        <f>G241*AP241</f>
        <v>0</v>
      </c>
      <c r="AY241" s="33" t="s">
        <v>662</v>
      </c>
      <c r="AZ241" s="33" t="s">
        <v>678</v>
      </c>
      <c r="BA241" s="28" t="s">
        <v>681</v>
      </c>
      <c r="BC241" s="32">
        <f>AW241+AX241</f>
        <v>0</v>
      </c>
      <c r="BD241" s="32">
        <f>H241/(100-BE241)*100</f>
        <v>0</v>
      </c>
      <c r="BE241" s="32">
        <v>0</v>
      </c>
      <c r="BF241" s="32">
        <f>239</f>
        <v>239</v>
      </c>
      <c r="BH241" s="15">
        <f>G241*AO241</f>
        <v>0</v>
      </c>
      <c r="BI241" s="15">
        <f>G241*AP241</f>
        <v>0</v>
      </c>
      <c r="BJ241" s="15">
        <f>G241*H241</f>
        <v>0</v>
      </c>
    </row>
    <row r="242" spans="1:62" x14ac:dyDescent="0.2">
      <c r="C242" s="58" t="s">
        <v>480</v>
      </c>
      <c r="D242" s="59"/>
      <c r="E242" s="59"/>
      <c r="G242" s="16">
        <v>0.56000000000000005</v>
      </c>
    </row>
    <row r="243" spans="1:62" x14ac:dyDescent="0.2">
      <c r="C243" s="58" t="s">
        <v>481</v>
      </c>
      <c r="D243" s="59"/>
      <c r="E243" s="59"/>
      <c r="G243" s="16">
        <v>0.54</v>
      </c>
    </row>
    <row r="244" spans="1:62" x14ac:dyDescent="0.2">
      <c r="A244" s="4" t="s">
        <v>81</v>
      </c>
      <c r="B244" s="4" t="s">
        <v>213</v>
      </c>
      <c r="C244" s="60" t="s">
        <v>482</v>
      </c>
      <c r="D244" s="61"/>
      <c r="E244" s="61"/>
      <c r="F244" s="4" t="s">
        <v>616</v>
      </c>
      <c r="G244" s="15">
        <v>51.3</v>
      </c>
      <c r="H244" s="15">
        <v>0</v>
      </c>
      <c r="I244" s="15">
        <f>G244*AO244</f>
        <v>0</v>
      </c>
      <c r="J244" s="15">
        <f>G244*AP244</f>
        <v>0</v>
      </c>
      <c r="K244" s="15">
        <f>G244*H244</f>
        <v>0</v>
      </c>
      <c r="L244" s="27" t="s">
        <v>636</v>
      </c>
      <c r="Z244" s="32">
        <f>IF(AQ244="5",BJ244,0)</f>
        <v>0</v>
      </c>
      <c r="AB244" s="32">
        <f>IF(AQ244="1",BH244,0)</f>
        <v>0</v>
      </c>
      <c r="AC244" s="32">
        <f>IF(AQ244="1",BI244,0)</f>
        <v>0</v>
      </c>
      <c r="AD244" s="32">
        <f>IF(AQ244="7",BH244,0)</f>
        <v>0</v>
      </c>
      <c r="AE244" s="32">
        <f>IF(AQ244="7",BI244,0)</f>
        <v>0</v>
      </c>
      <c r="AF244" s="32">
        <f>IF(AQ244="2",BH244,0)</f>
        <v>0</v>
      </c>
      <c r="AG244" s="32">
        <f>IF(AQ244="2",BI244,0)</f>
        <v>0</v>
      </c>
      <c r="AH244" s="32">
        <f>IF(AQ244="0",BJ244,0)</f>
        <v>0</v>
      </c>
      <c r="AI244" s="28"/>
      <c r="AJ244" s="15">
        <f>IF(AN244=0,K244,0)</f>
        <v>0</v>
      </c>
      <c r="AK244" s="15">
        <f>IF(AN244=15,K244,0)</f>
        <v>0</v>
      </c>
      <c r="AL244" s="15">
        <f>IF(AN244=21,K244,0)</f>
        <v>0</v>
      </c>
      <c r="AN244" s="32">
        <v>21</v>
      </c>
      <c r="AO244" s="32">
        <f>H244*0.200098039215686</f>
        <v>0</v>
      </c>
      <c r="AP244" s="32">
        <f>H244*(1-0.200098039215686)</f>
        <v>0</v>
      </c>
      <c r="AQ244" s="27" t="s">
        <v>13</v>
      </c>
      <c r="AV244" s="32">
        <f>AW244+AX244</f>
        <v>0</v>
      </c>
      <c r="AW244" s="32">
        <f>G244*AO244</f>
        <v>0</v>
      </c>
      <c r="AX244" s="32">
        <f>G244*AP244</f>
        <v>0</v>
      </c>
      <c r="AY244" s="33" t="s">
        <v>662</v>
      </c>
      <c r="AZ244" s="33" t="s">
        <v>678</v>
      </c>
      <c r="BA244" s="28" t="s">
        <v>681</v>
      </c>
      <c r="BC244" s="32">
        <f>AW244+AX244</f>
        <v>0</v>
      </c>
      <c r="BD244" s="32">
        <f>H244/(100-BE244)*100</f>
        <v>0</v>
      </c>
      <c r="BE244" s="32">
        <v>0</v>
      </c>
      <c r="BF244" s="32">
        <f>242</f>
        <v>242</v>
      </c>
      <c r="BH244" s="15">
        <f>G244*AO244</f>
        <v>0</v>
      </c>
      <c r="BI244" s="15">
        <f>G244*AP244</f>
        <v>0</v>
      </c>
      <c r="BJ244" s="15">
        <f>G244*H244</f>
        <v>0</v>
      </c>
    </row>
    <row r="245" spans="1:62" x14ac:dyDescent="0.2">
      <c r="C245" s="58" t="s">
        <v>483</v>
      </c>
      <c r="D245" s="59"/>
      <c r="E245" s="59"/>
      <c r="G245" s="16">
        <v>28.8</v>
      </c>
    </row>
    <row r="246" spans="1:62" x14ac:dyDescent="0.2">
      <c r="C246" s="58" t="s">
        <v>484</v>
      </c>
      <c r="D246" s="59"/>
      <c r="E246" s="59"/>
      <c r="G246" s="16">
        <v>3</v>
      </c>
    </row>
    <row r="247" spans="1:62" x14ac:dyDescent="0.2">
      <c r="C247" s="58" t="s">
        <v>485</v>
      </c>
      <c r="D247" s="59"/>
      <c r="E247" s="59"/>
      <c r="G247" s="16">
        <v>8.1</v>
      </c>
    </row>
    <row r="248" spans="1:62" x14ac:dyDescent="0.2">
      <c r="C248" s="58" t="s">
        <v>486</v>
      </c>
      <c r="D248" s="59"/>
      <c r="E248" s="59"/>
      <c r="G248" s="16">
        <v>4.8</v>
      </c>
    </row>
    <row r="249" spans="1:62" x14ac:dyDescent="0.2">
      <c r="C249" s="58" t="s">
        <v>487</v>
      </c>
      <c r="D249" s="59"/>
      <c r="E249" s="59"/>
      <c r="G249" s="16">
        <v>6.6</v>
      </c>
    </row>
    <row r="250" spans="1:62" x14ac:dyDescent="0.2">
      <c r="A250" s="4" t="s">
        <v>82</v>
      </c>
      <c r="B250" s="4" t="s">
        <v>214</v>
      </c>
      <c r="C250" s="60" t="s">
        <v>488</v>
      </c>
      <c r="D250" s="61"/>
      <c r="E250" s="61"/>
      <c r="F250" s="4" t="s">
        <v>613</v>
      </c>
      <c r="G250" s="15">
        <v>1.1000000000000001</v>
      </c>
      <c r="H250" s="15">
        <v>0</v>
      </c>
      <c r="I250" s="15">
        <f>G250*AO250</f>
        <v>0</v>
      </c>
      <c r="J250" s="15">
        <f>G250*AP250</f>
        <v>0</v>
      </c>
      <c r="K250" s="15">
        <f>G250*H250</f>
        <v>0</v>
      </c>
      <c r="L250" s="27" t="s">
        <v>636</v>
      </c>
      <c r="Z250" s="32">
        <f>IF(AQ250="5",BJ250,0)</f>
        <v>0</v>
      </c>
      <c r="AB250" s="32">
        <f>IF(AQ250="1",BH250,0)</f>
        <v>0</v>
      </c>
      <c r="AC250" s="32">
        <f>IF(AQ250="1",BI250,0)</f>
        <v>0</v>
      </c>
      <c r="AD250" s="32">
        <f>IF(AQ250="7",BH250,0)</f>
        <v>0</v>
      </c>
      <c r="AE250" s="32">
        <f>IF(AQ250="7",BI250,0)</f>
        <v>0</v>
      </c>
      <c r="AF250" s="32">
        <f>IF(AQ250="2",BH250,0)</f>
        <v>0</v>
      </c>
      <c r="AG250" s="32">
        <f>IF(AQ250="2",BI250,0)</f>
        <v>0</v>
      </c>
      <c r="AH250" s="32">
        <f>IF(AQ250="0",BJ250,0)</f>
        <v>0</v>
      </c>
      <c r="AI250" s="28"/>
      <c r="AJ250" s="15">
        <f>IF(AN250=0,K250,0)</f>
        <v>0</v>
      </c>
      <c r="AK250" s="15">
        <f>IF(AN250=15,K250,0)</f>
        <v>0</v>
      </c>
      <c r="AL250" s="15">
        <f>IF(AN250=21,K250,0)</f>
        <v>0</v>
      </c>
      <c r="AN250" s="32">
        <v>21</v>
      </c>
      <c r="AO250" s="32">
        <f>H250*0.507946107784431</f>
        <v>0</v>
      </c>
      <c r="AP250" s="32">
        <f>H250*(1-0.507946107784431)</f>
        <v>0</v>
      </c>
      <c r="AQ250" s="27" t="s">
        <v>13</v>
      </c>
      <c r="AV250" s="32">
        <f>AW250+AX250</f>
        <v>0</v>
      </c>
      <c r="AW250" s="32">
        <f>G250*AO250</f>
        <v>0</v>
      </c>
      <c r="AX250" s="32">
        <f>G250*AP250</f>
        <v>0</v>
      </c>
      <c r="AY250" s="33" t="s">
        <v>662</v>
      </c>
      <c r="AZ250" s="33" t="s">
        <v>678</v>
      </c>
      <c r="BA250" s="28" t="s">
        <v>681</v>
      </c>
      <c r="BC250" s="32">
        <f>AW250+AX250</f>
        <v>0</v>
      </c>
      <c r="BD250" s="32">
        <f>H250/(100-BE250)*100</f>
        <v>0</v>
      </c>
      <c r="BE250" s="32">
        <v>0</v>
      </c>
      <c r="BF250" s="32">
        <f>248</f>
        <v>248</v>
      </c>
      <c r="BH250" s="15">
        <f>G250*AO250</f>
        <v>0</v>
      </c>
      <c r="BI250" s="15">
        <f>G250*AP250</f>
        <v>0</v>
      </c>
      <c r="BJ250" s="15">
        <f>G250*H250</f>
        <v>0</v>
      </c>
    </row>
    <row r="251" spans="1:62" x14ac:dyDescent="0.2">
      <c r="C251" s="58" t="s">
        <v>489</v>
      </c>
      <c r="D251" s="59"/>
      <c r="E251" s="59"/>
      <c r="G251" s="16">
        <v>0.56000000000000005</v>
      </c>
    </row>
    <row r="252" spans="1:62" x14ac:dyDescent="0.2">
      <c r="C252" s="58" t="s">
        <v>490</v>
      </c>
      <c r="D252" s="59"/>
      <c r="E252" s="59"/>
      <c r="G252" s="16">
        <v>0.54</v>
      </c>
    </row>
    <row r="253" spans="1:62" x14ac:dyDescent="0.2">
      <c r="A253" s="4" t="s">
        <v>83</v>
      </c>
      <c r="B253" s="4" t="s">
        <v>215</v>
      </c>
      <c r="C253" s="60" t="s">
        <v>491</v>
      </c>
      <c r="D253" s="61"/>
      <c r="E253" s="61"/>
      <c r="F253" s="4" t="s">
        <v>618</v>
      </c>
      <c r="G253" s="15">
        <v>0.14363999999999999</v>
      </c>
      <c r="H253" s="15">
        <v>0</v>
      </c>
      <c r="I253" s="15">
        <f>G253*AO253</f>
        <v>0</v>
      </c>
      <c r="J253" s="15">
        <f>G253*AP253</f>
        <v>0</v>
      </c>
      <c r="K253" s="15">
        <f>G253*H253</f>
        <v>0</v>
      </c>
      <c r="L253" s="27" t="s">
        <v>636</v>
      </c>
      <c r="Z253" s="32">
        <f>IF(AQ253="5",BJ253,0)</f>
        <v>0</v>
      </c>
      <c r="AB253" s="32">
        <f>IF(AQ253="1",BH253,0)</f>
        <v>0</v>
      </c>
      <c r="AC253" s="32">
        <f>IF(AQ253="1",BI253,0)</f>
        <v>0</v>
      </c>
      <c r="AD253" s="32">
        <f>IF(AQ253="7",BH253,0)</f>
        <v>0</v>
      </c>
      <c r="AE253" s="32">
        <f>IF(AQ253="7",BI253,0)</f>
        <v>0</v>
      </c>
      <c r="AF253" s="32">
        <f>IF(AQ253="2",BH253,0)</f>
        <v>0</v>
      </c>
      <c r="AG253" s="32">
        <f>IF(AQ253="2",BI253,0)</f>
        <v>0</v>
      </c>
      <c r="AH253" s="32">
        <f>IF(AQ253="0",BJ253,0)</f>
        <v>0</v>
      </c>
      <c r="AI253" s="28"/>
      <c r="AJ253" s="15">
        <f>IF(AN253=0,K253,0)</f>
        <v>0</v>
      </c>
      <c r="AK253" s="15">
        <f>IF(AN253=15,K253,0)</f>
        <v>0</v>
      </c>
      <c r="AL253" s="15">
        <f>IF(AN253=21,K253,0)</f>
        <v>0</v>
      </c>
      <c r="AN253" s="32">
        <v>21</v>
      </c>
      <c r="AO253" s="32">
        <f>H253*0</f>
        <v>0</v>
      </c>
      <c r="AP253" s="32">
        <f>H253*(1-0)</f>
        <v>0</v>
      </c>
      <c r="AQ253" s="27" t="s">
        <v>11</v>
      </c>
      <c r="AV253" s="32">
        <f>AW253+AX253</f>
        <v>0</v>
      </c>
      <c r="AW253" s="32">
        <f>G253*AO253</f>
        <v>0</v>
      </c>
      <c r="AX253" s="32">
        <f>G253*AP253</f>
        <v>0</v>
      </c>
      <c r="AY253" s="33" t="s">
        <v>662</v>
      </c>
      <c r="AZ253" s="33" t="s">
        <v>678</v>
      </c>
      <c r="BA253" s="28" t="s">
        <v>681</v>
      </c>
      <c r="BC253" s="32">
        <f>AW253+AX253</f>
        <v>0</v>
      </c>
      <c r="BD253" s="32">
        <f>H253/(100-BE253)*100</f>
        <v>0</v>
      </c>
      <c r="BE253" s="32">
        <v>0</v>
      </c>
      <c r="BF253" s="32">
        <f>251</f>
        <v>251</v>
      </c>
      <c r="BH253" s="15">
        <f>G253*AO253</f>
        <v>0</v>
      </c>
      <c r="BI253" s="15">
        <f>G253*AP253</f>
        <v>0</v>
      </c>
      <c r="BJ253" s="15">
        <f>G253*H253</f>
        <v>0</v>
      </c>
    </row>
    <row r="254" spans="1:62" x14ac:dyDescent="0.2">
      <c r="C254" s="58" t="s">
        <v>492</v>
      </c>
      <c r="D254" s="59"/>
      <c r="E254" s="59"/>
      <c r="G254" s="16">
        <v>0.14363999999999999</v>
      </c>
    </row>
    <row r="255" spans="1:62" x14ac:dyDescent="0.2">
      <c r="A255" s="5"/>
      <c r="B255" s="13" t="s">
        <v>216</v>
      </c>
      <c r="C255" s="66" t="s">
        <v>493</v>
      </c>
      <c r="D255" s="67"/>
      <c r="E255" s="67"/>
      <c r="F255" s="5" t="s">
        <v>6</v>
      </c>
      <c r="G255" s="5" t="s">
        <v>6</v>
      </c>
      <c r="H255" s="5" t="s">
        <v>6</v>
      </c>
      <c r="I255" s="35">
        <f>SUM(I256:I256)</f>
        <v>0</v>
      </c>
      <c r="J255" s="35">
        <f>SUM(J256:J256)</f>
        <v>0</v>
      </c>
      <c r="K255" s="35">
        <f>SUM(K256:K256)</f>
        <v>0</v>
      </c>
      <c r="L255" s="28"/>
      <c r="AI255" s="28"/>
      <c r="AS255" s="35">
        <f>SUM(AJ256:AJ256)</f>
        <v>0</v>
      </c>
      <c r="AT255" s="35">
        <f>SUM(AK256:AK256)</f>
        <v>0</v>
      </c>
      <c r="AU255" s="35">
        <f>SUM(AL256:AL256)</f>
        <v>0</v>
      </c>
    </row>
    <row r="256" spans="1:62" x14ac:dyDescent="0.2">
      <c r="A256" s="4" t="s">
        <v>84</v>
      </c>
      <c r="B256" s="4" t="s">
        <v>217</v>
      </c>
      <c r="C256" s="60" t="s">
        <v>494</v>
      </c>
      <c r="D256" s="61"/>
      <c r="E256" s="61"/>
      <c r="F256" s="4" t="s">
        <v>613</v>
      </c>
      <c r="G256" s="15">
        <v>775</v>
      </c>
      <c r="H256" s="15">
        <v>0</v>
      </c>
      <c r="I256" s="15">
        <f>G256*AO256</f>
        <v>0</v>
      </c>
      <c r="J256" s="15">
        <f>G256*AP256</f>
        <v>0</v>
      </c>
      <c r="K256" s="15">
        <f>G256*H256</f>
        <v>0</v>
      </c>
      <c r="L256" s="27" t="s">
        <v>636</v>
      </c>
      <c r="Z256" s="32">
        <f>IF(AQ256="5",BJ256,0)</f>
        <v>0</v>
      </c>
      <c r="AB256" s="32">
        <f>IF(AQ256="1",BH256,0)</f>
        <v>0</v>
      </c>
      <c r="AC256" s="32">
        <f>IF(AQ256="1",BI256,0)</f>
        <v>0</v>
      </c>
      <c r="AD256" s="32">
        <f>IF(AQ256="7",BH256,0)</f>
        <v>0</v>
      </c>
      <c r="AE256" s="32">
        <f>IF(AQ256="7",BI256,0)</f>
        <v>0</v>
      </c>
      <c r="AF256" s="32">
        <f>IF(AQ256="2",BH256,0)</f>
        <v>0</v>
      </c>
      <c r="AG256" s="32">
        <f>IF(AQ256="2",BI256,0)</f>
        <v>0</v>
      </c>
      <c r="AH256" s="32">
        <f>IF(AQ256="0",BJ256,0)</f>
        <v>0</v>
      </c>
      <c r="AI256" s="28"/>
      <c r="AJ256" s="15">
        <f>IF(AN256=0,K256,0)</f>
        <v>0</v>
      </c>
      <c r="AK256" s="15">
        <f>IF(AN256=15,K256,0)</f>
        <v>0</v>
      </c>
      <c r="AL256" s="15">
        <f>IF(AN256=21,K256,0)</f>
        <v>0</v>
      </c>
      <c r="AN256" s="32">
        <v>21</v>
      </c>
      <c r="AO256" s="32">
        <f>H256*0</f>
        <v>0</v>
      </c>
      <c r="AP256" s="32">
        <f>H256*(1-0)</f>
        <v>0</v>
      </c>
      <c r="AQ256" s="27" t="s">
        <v>13</v>
      </c>
      <c r="AV256" s="32">
        <f>AW256+AX256</f>
        <v>0</v>
      </c>
      <c r="AW256" s="32">
        <f>G256*AO256</f>
        <v>0</v>
      </c>
      <c r="AX256" s="32">
        <f>G256*AP256</f>
        <v>0</v>
      </c>
      <c r="AY256" s="33" t="s">
        <v>663</v>
      </c>
      <c r="AZ256" s="33" t="s">
        <v>678</v>
      </c>
      <c r="BA256" s="28" t="s">
        <v>681</v>
      </c>
      <c r="BC256" s="32">
        <f>AW256+AX256</f>
        <v>0</v>
      </c>
      <c r="BD256" s="32">
        <f>H256/(100-BE256)*100</f>
        <v>0</v>
      </c>
      <c r="BE256" s="32">
        <v>0</v>
      </c>
      <c r="BF256" s="32">
        <f>254</f>
        <v>254</v>
      </c>
      <c r="BH256" s="15">
        <f>G256*AO256</f>
        <v>0</v>
      </c>
      <c r="BI256" s="15">
        <f>G256*AP256</f>
        <v>0</v>
      </c>
      <c r="BJ256" s="15">
        <f>G256*H256</f>
        <v>0</v>
      </c>
    </row>
    <row r="257" spans="1:62" x14ac:dyDescent="0.2">
      <c r="C257" s="58" t="s">
        <v>397</v>
      </c>
      <c r="D257" s="59"/>
      <c r="E257" s="59"/>
      <c r="G257" s="16">
        <v>775</v>
      </c>
    </row>
    <row r="258" spans="1:62" x14ac:dyDescent="0.2">
      <c r="A258" s="5"/>
      <c r="B258" s="13" t="s">
        <v>218</v>
      </c>
      <c r="C258" s="66" t="s">
        <v>495</v>
      </c>
      <c r="D258" s="67"/>
      <c r="E258" s="67"/>
      <c r="F258" s="5" t="s">
        <v>6</v>
      </c>
      <c r="G258" s="5" t="s">
        <v>6</v>
      </c>
      <c r="H258" s="5" t="s">
        <v>6</v>
      </c>
      <c r="I258" s="35">
        <f>SUM(I259:I278)</f>
        <v>0</v>
      </c>
      <c r="J258" s="35">
        <f>SUM(J259:J278)</f>
        <v>0</v>
      </c>
      <c r="K258" s="35">
        <f>SUM(K259:K278)</f>
        <v>0</v>
      </c>
      <c r="L258" s="28"/>
      <c r="AI258" s="28"/>
      <c r="AS258" s="35">
        <f>SUM(AJ259:AJ278)</f>
        <v>0</v>
      </c>
      <c r="AT258" s="35">
        <f>SUM(AK259:AK278)</f>
        <v>0</v>
      </c>
      <c r="AU258" s="35">
        <f>SUM(AL259:AL278)</f>
        <v>0</v>
      </c>
    </row>
    <row r="259" spans="1:62" x14ac:dyDescent="0.2">
      <c r="A259" s="4" t="s">
        <v>85</v>
      </c>
      <c r="B259" s="4" t="s">
        <v>219</v>
      </c>
      <c r="C259" s="60" t="s">
        <v>496</v>
      </c>
      <c r="D259" s="61"/>
      <c r="E259" s="61"/>
      <c r="F259" s="4" t="s">
        <v>613</v>
      </c>
      <c r="G259" s="15">
        <v>73.08</v>
      </c>
      <c r="H259" s="15">
        <v>0</v>
      </c>
      <c r="I259" s="15">
        <f>G259*AO259</f>
        <v>0</v>
      </c>
      <c r="J259" s="15">
        <f>G259*AP259</f>
        <v>0</v>
      </c>
      <c r="K259" s="15">
        <f>G259*H259</f>
        <v>0</v>
      </c>
      <c r="L259" s="27" t="s">
        <v>636</v>
      </c>
      <c r="Z259" s="32">
        <f>IF(AQ259="5",BJ259,0)</f>
        <v>0</v>
      </c>
      <c r="AB259" s="32">
        <f>IF(AQ259="1",BH259,0)</f>
        <v>0</v>
      </c>
      <c r="AC259" s="32">
        <f>IF(AQ259="1",BI259,0)</f>
        <v>0</v>
      </c>
      <c r="AD259" s="32">
        <f>IF(AQ259="7",BH259,0)</f>
        <v>0</v>
      </c>
      <c r="AE259" s="32">
        <f>IF(AQ259="7",BI259,0)</f>
        <v>0</v>
      </c>
      <c r="AF259" s="32">
        <f>IF(AQ259="2",BH259,0)</f>
        <v>0</v>
      </c>
      <c r="AG259" s="32">
        <f>IF(AQ259="2",BI259,0)</f>
        <v>0</v>
      </c>
      <c r="AH259" s="32">
        <f>IF(AQ259="0",BJ259,0)</f>
        <v>0</v>
      </c>
      <c r="AI259" s="28"/>
      <c r="AJ259" s="15">
        <f>IF(AN259=0,K259,0)</f>
        <v>0</v>
      </c>
      <c r="AK259" s="15">
        <f>IF(AN259=15,K259,0)</f>
        <v>0</v>
      </c>
      <c r="AL259" s="15">
        <f>IF(AN259=21,K259,0)</f>
        <v>0</v>
      </c>
      <c r="AN259" s="32">
        <v>21</v>
      </c>
      <c r="AO259" s="32">
        <f>H259*0.0282533333333333</f>
        <v>0</v>
      </c>
      <c r="AP259" s="32">
        <f>H259*(1-0.0282533333333333)</f>
        <v>0</v>
      </c>
      <c r="AQ259" s="27" t="s">
        <v>13</v>
      </c>
      <c r="AV259" s="32">
        <f>AW259+AX259</f>
        <v>0</v>
      </c>
      <c r="AW259" s="32">
        <f>G259*AO259</f>
        <v>0</v>
      </c>
      <c r="AX259" s="32">
        <f>G259*AP259</f>
        <v>0</v>
      </c>
      <c r="AY259" s="33" t="s">
        <v>664</v>
      </c>
      <c r="AZ259" s="33" t="s">
        <v>678</v>
      </c>
      <c r="BA259" s="28" t="s">
        <v>681</v>
      </c>
      <c r="BC259" s="32">
        <f>AW259+AX259</f>
        <v>0</v>
      </c>
      <c r="BD259" s="32">
        <f>H259/(100-BE259)*100</f>
        <v>0</v>
      </c>
      <c r="BE259" s="32">
        <v>0</v>
      </c>
      <c r="BF259" s="32">
        <f>257</f>
        <v>257</v>
      </c>
      <c r="BH259" s="15">
        <f>G259*AO259</f>
        <v>0</v>
      </c>
      <c r="BI259" s="15">
        <f>G259*AP259</f>
        <v>0</v>
      </c>
      <c r="BJ259" s="15">
        <f>G259*H259</f>
        <v>0</v>
      </c>
    </row>
    <row r="260" spans="1:62" x14ac:dyDescent="0.2">
      <c r="C260" s="58" t="s">
        <v>497</v>
      </c>
      <c r="D260" s="59"/>
      <c r="E260" s="59"/>
      <c r="G260" s="16">
        <v>40.32</v>
      </c>
    </row>
    <row r="261" spans="1:62" x14ac:dyDescent="0.2">
      <c r="C261" s="58" t="s">
        <v>498</v>
      </c>
      <c r="D261" s="59"/>
      <c r="E261" s="59"/>
      <c r="G261" s="16">
        <v>5.76</v>
      </c>
    </row>
    <row r="262" spans="1:62" x14ac:dyDescent="0.2">
      <c r="C262" s="58" t="s">
        <v>499</v>
      </c>
      <c r="D262" s="59"/>
      <c r="E262" s="59"/>
      <c r="G262" s="16">
        <v>3.6</v>
      </c>
    </row>
    <row r="263" spans="1:62" x14ac:dyDescent="0.2">
      <c r="C263" s="58" t="s">
        <v>500</v>
      </c>
      <c r="D263" s="59"/>
      <c r="E263" s="59"/>
      <c r="G263" s="16">
        <v>4.32</v>
      </c>
    </row>
    <row r="264" spans="1:62" x14ac:dyDescent="0.2">
      <c r="C264" s="58" t="s">
        <v>501</v>
      </c>
      <c r="D264" s="59"/>
      <c r="E264" s="59"/>
      <c r="G264" s="16">
        <v>3.24</v>
      </c>
    </row>
    <row r="265" spans="1:62" x14ac:dyDescent="0.2">
      <c r="C265" s="58" t="s">
        <v>502</v>
      </c>
      <c r="D265" s="59"/>
      <c r="E265" s="59"/>
      <c r="G265" s="16">
        <v>15.84</v>
      </c>
    </row>
    <row r="266" spans="1:62" x14ac:dyDescent="0.2">
      <c r="A266" s="6" t="s">
        <v>86</v>
      </c>
      <c r="B266" s="6" t="s">
        <v>220</v>
      </c>
      <c r="C266" s="68" t="s">
        <v>503</v>
      </c>
      <c r="D266" s="69"/>
      <c r="E266" s="69"/>
      <c r="F266" s="6" t="s">
        <v>617</v>
      </c>
      <c r="G266" s="17">
        <v>7</v>
      </c>
      <c r="H266" s="17">
        <v>0</v>
      </c>
      <c r="I266" s="17">
        <f>G266*AO266</f>
        <v>0</v>
      </c>
      <c r="J266" s="17">
        <f>G266*AP266</f>
        <v>0</v>
      </c>
      <c r="K266" s="17">
        <f>G266*H266</f>
        <v>0</v>
      </c>
      <c r="L266" s="29"/>
      <c r="Z266" s="32">
        <f>IF(AQ266="5",BJ266,0)</f>
        <v>0</v>
      </c>
      <c r="AB266" s="32">
        <f>IF(AQ266="1",BH266,0)</f>
        <v>0</v>
      </c>
      <c r="AC266" s="32">
        <f>IF(AQ266="1",BI266,0)</f>
        <v>0</v>
      </c>
      <c r="AD266" s="32">
        <f>IF(AQ266="7",BH266,0)</f>
        <v>0</v>
      </c>
      <c r="AE266" s="32">
        <f>IF(AQ266="7",BI266,0)</f>
        <v>0</v>
      </c>
      <c r="AF266" s="32">
        <f>IF(AQ266="2",BH266,0)</f>
        <v>0</v>
      </c>
      <c r="AG266" s="32">
        <f>IF(AQ266="2",BI266,0)</f>
        <v>0</v>
      </c>
      <c r="AH266" s="32">
        <f>IF(AQ266="0",BJ266,0)</f>
        <v>0</v>
      </c>
      <c r="AI266" s="28"/>
      <c r="AJ266" s="17">
        <f>IF(AN266=0,K266,0)</f>
        <v>0</v>
      </c>
      <c r="AK266" s="17">
        <f>IF(AN266=15,K266,0)</f>
        <v>0</v>
      </c>
      <c r="AL266" s="17">
        <f>IF(AN266=21,K266,0)</f>
        <v>0</v>
      </c>
      <c r="AN266" s="32">
        <v>21</v>
      </c>
      <c r="AO266" s="32">
        <f>H266*1</f>
        <v>0</v>
      </c>
      <c r="AP266" s="32">
        <f>H266*(1-1)</f>
        <v>0</v>
      </c>
      <c r="AQ266" s="29" t="s">
        <v>13</v>
      </c>
      <c r="AV266" s="32">
        <f>AW266+AX266</f>
        <v>0</v>
      </c>
      <c r="AW266" s="32">
        <f>G266*AO266</f>
        <v>0</v>
      </c>
      <c r="AX266" s="32">
        <f>G266*AP266</f>
        <v>0</v>
      </c>
      <c r="AY266" s="33" t="s">
        <v>664</v>
      </c>
      <c r="AZ266" s="33" t="s">
        <v>678</v>
      </c>
      <c r="BA266" s="28" t="s">
        <v>681</v>
      </c>
      <c r="BC266" s="32">
        <f>AW266+AX266</f>
        <v>0</v>
      </c>
      <c r="BD266" s="32">
        <f>H266/(100-BE266)*100</f>
        <v>0</v>
      </c>
      <c r="BE266" s="32">
        <v>0</v>
      </c>
      <c r="BF266" s="32">
        <f>264</f>
        <v>264</v>
      </c>
      <c r="BH266" s="17">
        <f>G266*AO266</f>
        <v>0</v>
      </c>
      <c r="BI266" s="17">
        <f>G266*AP266</f>
        <v>0</v>
      </c>
      <c r="BJ266" s="17">
        <f>G266*H266</f>
        <v>0</v>
      </c>
    </row>
    <row r="267" spans="1:62" x14ac:dyDescent="0.2">
      <c r="C267" s="58" t="s">
        <v>504</v>
      </c>
      <c r="D267" s="59"/>
      <c r="E267" s="59"/>
      <c r="G267" s="16">
        <v>7</v>
      </c>
    </row>
    <row r="268" spans="1:62" x14ac:dyDescent="0.2">
      <c r="A268" s="6" t="s">
        <v>87</v>
      </c>
      <c r="B268" s="6" t="s">
        <v>221</v>
      </c>
      <c r="C268" s="68" t="s">
        <v>505</v>
      </c>
      <c r="D268" s="69"/>
      <c r="E268" s="69"/>
      <c r="F268" s="6" t="s">
        <v>617</v>
      </c>
      <c r="G268" s="17">
        <v>1</v>
      </c>
      <c r="H268" s="17">
        <v>0</v>
      </c>
      <c r="I268" s="17">
        <f>G268*AO268</f>
        <v>0</v>
      </c>
      <c r="J268" s="17">
        <f>G268*AP268</f>
        <v>0</v>
      </c>
      <c r="K268" s="17">
        <f>G268*H268</f>
        <v>0</v>
      </c>
      <c r="L268" s="29"/>
      <c r="Z268" s="32">
        <f>IF(AQ268="5",BJ268,0)</f>
        <v>0</v>
      </c>
      <c r="AB268" s="32">
        <f>IF(AQ268="1",BH268,0)</f>
        <v>0</v>
      </c>
      <c r="AC268" s="32">
        <f>IF(AQ268="1",BI268,0)</f>
        <v>0</v>
      </c>
      <c r="AD268" s="32">
        <f>IF(AQ268="7",BH268,0)</f>
        <v>0</v>
      </c>
      <c r="AE268" s="32">
        <f>IF(AQ268="7",BI268,0)</f>
        <v>0</v>
      </c>
      <c r="AF268" s="32">
        <f>IF(AQ268="2",BH268,0)</f>
        <v>0</v>
      </c>
      <c r="AG268" s="32">
        <f>IF(AQ268="2",BI268,0)</f>
        <v>0</v>
      </c>
      <c r="AH268" s="32">
        <f>IF(AQ268="0",BJ268,0)</f>
        <v>0</v>
      </c>
      <c r="AI268" s="28"/>
      <c r="AJ268" s="17">
        <f>IF(AN268=0,K268,0)</f>
        <v>0</v>
      </c>
      <c r="AK268" s="17">
        <f>IF(AN268=15,K268,0)</f>
        <v>0</v>
      </c>
      <c r="AL268" s="17">
        <f>IF(AN268=21,K268,0)</f>
        <v>0</v>
      </c>
      <c r="AN268" s="32">
        <v>21</v>
      </c>
      <c r="AO268" s="32">
        <f>H268*1</f>
        <v>0</v>
      </c>
      <c r="AP268" s="32">
        <f>H268*(1-1)</f>
        <v>0</v>
      </c>
      <c r="AQ268" s="29" t="s">
        <v>13</v>
      </c>
      <c r="AV268" s="32">
        <f>AW268+AX268</f>
        <v>0</v>
      </c>
      <c r="AW268" s="32">
        <f>G268*AO268</f>
        <v>0</v>
      </c>
      <c r="AX268" s="32">
        <f>G268*AP268</f>
        <v>0</v>
      </c>
      <c r="AY268" s="33" t="s">
        <v>664</v>
      </c>
      <c r="AZ268" s="33" t="s">
        <v>678</v>
      </c>
      <c r="BA268" s="28" t="s">
        <v>681</v>
      </c>
      <c r="BC268" s="32">
        <f>AW268+AX268</f>
        <v>0</v>
      </c>
      <c r="BD268" s="32">
        <f>H268/(100-BE268)*100</f>
        <v>0</v>
      </c>
      <c r="BE268" s="32">
        <v>0</v>
      </c>
      <c r="BF268" s="32">
        <f>266</f>
        <v>266</v>
      </c>
      <c r="BH268" s="17">
        <f>G268*AO268</f>
        <v>0</v>
      </c>
      <c r="BI268" s="17">
        <f>G268*AP268</f>
        <v>0</v>
      </c>
      <c r="BJ268" s="17">
        <f>G268*H268</f>
        <v>0</v>
      </c>
    </row>
    <row r="269" spans="1:62" x14ac:dyDescent="0.2">
      <c r="C269" s="58" t="s">
        <v>506</v>
      </c>
      <c r="D269" s="59"/>
      <c r="E269" s="59"/>
      <c r="G269" s="16">
        <v>1</v>
      </c>
    </row>
    <row r="270" spans="1:62" x14ac:dyDescent="0.2">
      <c r="A270" s="6" t="s">
        <v>88</v>
      </c>
      <c r="B270" s="6" t="s">
        <v>222</v>
      </c>
      <c r="C270" s="68" t="s">
        <v>507</v>
      </c>
      <c r="D270" s="69"/>
      <c r="E270" s="69"/>
      <c r="F270" s="6" t="s">
        <v>617</v>
      </c>
      <c r="G270" s="17">
        <v>1</v>
      </c>
      <c r="H270" s="17">
        <v>0</v>
      </c>
      <c r="I270" s="17">
        <f>G270*AO270</f>
        <v>0</v>
      </c>
      <c r="J270" s="17">
        <f>G270*AP270</f>
        <v>0</v>
      </c>
      <c r="K270" s="17">
        <f>G270*H270</f>
        <v>0</v>
      </c>
      <c r="L270" s="29"/>
      <c r="Z270" s="32">
        <f>IF(AQ270="5",BJ270,0)</f>
        <v>0</v>
      </c>
      <c r="AB270" s="32">
        <f>IF(AQ270="1",BH270,0)</f>
        <v>0</v>
      </c>
      <c r="AC270" s="32">
        <f>IF(AQ270="1",BI270,0)</f>
        <v>0</v>
      </c>
      <c r="AD270" s="32">
        <f>IF(AQ270="7",BH270,0)</f>
        <v>0</v>
      </c>
      <c r="AE270" s="32">
        <f>IF(AQ270="7",BI270,0)</f>
        <v>0</v>
      </c>
      <c r="AF270" s="32">
        <f>IF(AQ270="2",BH270,0)</f>
        <v>0</v>
      </c>
      <c r="AG270" s="32">
        <f>IF(AQ270="2",BI270,0)</f>
        <v>0</v>
      </c>
      <c r="AH270" s="32">
        <f>IF(AQ270="0",BJ270,0)</f>
        <v>0</v>
      </c>
      <c r="AI270" s="28"/>
      <c r="AJ270" s="17">
        <f>IF(AN270=0,K270,0)</f>
        <v>0</v>
      </c>
      <c r="AK270" s="17">
        <f>IF(AN270=15,K270,0)</f>
        <v>0</v>
      </c>
      <c r="AL270" s="17">
        <f>IF(AN270=21,K270,0)</f>
        <v>0</v>
      </c>
      <c r="AN270" s="32">
        <v>21</v>
      </c>
      <c r="AO270" s="32">
        <f>H270*1</f>
        <v>0</v>
      </c>
      <c r="AP270" s="32">
        <f>H270*(1-1)</f>
        <v>0</v>
      </c>
      <c r="AQ270" s="29" t="s">
        <v>13</v>
      </c>
      <c r="AV270" s="32">
        <f>AW270+AX270</f>
        <v>0</v>
      </c>
      <c r="AW270" s="32">
        <f>G270*AO270</f>
        <v>0</v>
      </c>
      <c r="AX270" s="32">
        <f>G270*AP270</f>
        <v>0</v>
      </c>
      <c r="AY270" s="33" t="s">
        <v>664</v>
      </c>
      <c r="AZ270" s="33" t="s">
        <v>678</v>
      </c>
      <c r="BA270" s="28" t="s">
        <v>681</v>
      </c>
      <c r="BC270" s="32">
        <f>AW270+AX270</f>
        <v>0</v>
      </c>
      <c r="BD270" s="32">
        <f>H270/(100-BE270)*100</f>
        <v>0</v>
      </c>
      <c r="BE270" s="32">
        <v>0</v>
      </c>
      <c r="BF270" s="32">
        <f>268</f>
        <v>268</v>
      </c>
      <c r="BH270" s="17">
        <f>G270*AO270</f>
        <v>0</v>
      </c>
      <c r="BI270" s="17">
        <f>G270*AP270</f>
        <v>0</v>
      </c>
      <c r="BJ270" s="17">
        <f>G270*H270</f>
        <v>0</v>
      </c>
    </row>
    <row r="271" spans="1:62" x14ac:dyDescent="0.2">
      <c r="C271" s="58" t="s">
        <v>508</v>
      </c>
      <c r="D271" s="59"/>
      <c r="E271" s="59"/>
      <c r="G271" s="16">
        <v>1</v>
      </c>
    </row>
    <row r="272" spans="1:62" x14ac:dyDescent="0.2">
      <c r="A272" s="6" t="s">
        <v>89</v>
      </c>
      <c r="B272" s="6" t="s">
        <v>223</v>
      </c>
      <c r="C272" s="68" t="s">
        <v>509</v>
      </c>
      <c r="D272" s="69"/>
      <c r="E272" s="69"/>
      <c r="F272" s="6" t="s">
        <v>617</v>
      </c>
      <c r="G272" s="17">
        <v>4</v>
      </c>
      <c r="H272" s="17">
        <v>0</v>
      </c>
      <c r="I272" s="17">
        <f>G272*AO272</f>
        <v>0</v>
      </c>
      <c r="J272" s="17">
        <f>G272*AP272</f>
        <v>0</v>
      </c>
      <c r="K272" s="17">
        <f>G272*H272</f>
        <v>0</v>
      </c>
      <c r="L272" s="29"/>
      <c r="Z272" s="32">
        <f>IF(AQ272="5",BJ272,0)</f>
        <v>0</v>
      </c>
      <c r="AB272" s="32">
        <f>IF(AQ272="1",BH272,0)</f>
        <v>0</v>
      </c>
      <c r="AC272" s="32">
        <f>IF(AQ272="1",BI272,0)</f>
        <v>0</v>
      </c>
      <c r="AD272" s="32">
        <f>IF(AQ272="7",BH272,0)</f>
        <v>0</v>
      </c>
      <c r="AE272" s="32">
        <f>IF(AQ272="7",BI272,0)</f>
        <v>0</v>
      </c>
      <c r="AF272" s="32">
        <f>IF(AQ272="2",BH272,0)</f>
        <v>0</v>
      </c>
      <c r="AG272" s="32">
        <f>IF(AQ272="2",BI272,0)</f>
        <v>0</v>
      </c>
      <c r="AH272" s="32">
        <f>IF(AQ272="0",BJ272,0)</f>
        <v>0</v>
      </c>
      <c r="AI272" s="28"/>
      <c r="AJ272" s="17">
        <f>IF(AN272=0,K272,0)</f>
        <v>0</v>
      </c>
      <c r="AK272" s="17">
        <f>IF(AN272=15,K272,0)</f>
        <v>0</v>
      </c>
      <c r="AL272" s="17">
        <f>IF(AN272=21,K272,0)</f>
        <v>0</v>
      </c>
      <c r="AN272" s="32">
        <v>21</v>
      </c>
      <c r="AO272" s="32">
        <f>H272*1</f>
        <v>0</v>
      </c>
      <c r="AP272" s="32">
        <f>H272*(1-1)</f>
        <v>0</v>
      </c>
      <c r="AQ272" s="29" t="s">
        <v>13</v>
      </c>
      <c r="AV272" s="32">
        <f>AW272+AX272</f>
        <v>0</v>
      </c>
      <c r="AW272" s="32">
        <f>G272*AO272</f>
        <v>0</v>
      </c>
      <c r="AX272" s="32">
        <f>G272*AP272</f>
        <v>0</v>
      </c>
      <c r="AY272" s="33" t="s">
        <v>664</v>
      </c>
      <c r="AZ272" s="33" t="s">
        <v>678</v>
      </c>
      <c r="BA272" s="28" t="s">
        <v>681</v>
      </c>
      <c r="BC272" s="32">
        <f>AW272+AX272</f>
        <v>0</v>
      </c>
      <c r="BD272" s="32">
        <f>H272/(100-BE272)*100</f>
        <v>0</v>
      </c>
      <c r="BE272" s="32">
        <v>0</v>
      </c>
      <c r="BF272" s="32">
        <f>270</f>
        <v>270</v>
      </c>
      <c r="BH272" s="17">
        <f>G272*AO272</f>
        <v>0</v>
      </c>
      <c r="BI272" s="17">
        <f>G272*AP272</f>
        <v>0</v>
      </c>
      <c r="BJ272" s="17">
        <f>G272*H272</f>
        <v>0</v>
      </c>
    </row>
    <row r="273" spans="1:62" x14ac:dyDescent="0.2">
      <c r="C273" s="58" t="s">
        <v>510</v>
      </c>
      <c r="D273" s="59"/>
      <c r="E273" s="59"/>
      <c r="G273" s="16">
        <v>4</v>
      </c>
    </row>
    <row r="274" spans="1:62" x14ac:dyDescent="0.2">
      <c r="A274" s="6" t="s">
        <v>90</v>
      </c>
      <c r="B274" s="6" t="s">
        <v>224</v>
      </c>
      <c r="C274" s="68" t="s">
        <v>511</v>
      </c>
      <c r="D274" s="69"/>
      <c r="E274" s="69"/>
      <c r="F274" s="6" t="s">
        <v>617</v>
      </c>
      <c r="G274" s="17">
        <v>2</v>
      </c>
      <c r="H274" s="17">
        <v>0</v>
      </c>
      <c r="I274" s="17">
        <f>G274*AO274</f>
        <v>0</v>
      </c>
      <c r="J274" s="17">
        <f>G274*AP274</f>
        <v>0</v>
      </c>
      <c r="K274" s="17">
        <f>G274*H274</f>
        <v>0</v>
      </c>
      <c r="L274" s="29"/>
      <c r="Z274" s="32">
        <f>IF(AQ274="5",BJ274,0)</f>
        <v>0</v>
      </c>
      <c r="AB274" s="32">
        <f>IF(AQ274="1",BH274,0)</f>
        <v>0</v>
      </c>
      <c r="AC274" s="32">
        <f>IF(AQ274="1",BI274,0)</f>
        <v>0</v>
      </c>
      <c r="AD274" s="32">
        <f>IF(AQ274="7",BH274,0)</f>
        <v>0</v>
      </c>
      <c r="AE274" s="32">
        <f>IF(AQ274="7",BI274,0)</f>
        <v>0</v>
      </c>
      <c r="AF274" s="32">
        <f>IF(AQ274="2",BH274,0)</f>
        <v>0</v>
      </c>
      <c r="AG274" s="32">
        <f>IF(AQ274="2",BI274,0)</f>
        <v>0</v>
      </c>
      <c r="AH274" s="32">
        <f>IF(AQ274="0",BJ274,0)</f>
        <v>0</v>
      </c>
      <c r="AI274" s="28"/>
      <c r="AJ274" s="17">
        <f>IF(AN274=0,K274,0)</f>
        <v>0</v>
      </c>
      <c r="AK274" s="17">
        <f>IF(AN274=15,K274,0)</f>
        <v>0</v>
      </c>
      <c r="AL274" s="17">
        <f>IF(AN274=21,K274,0)</f>
        <v>0</v>
      </c>
      <c r="AN274" s="32">
        <v>21</v>
      </c>
      <c r="AO274" s="32">
        <f>H274*1</f>
        <v>0</v>
      </c>
      <c r="AP274" s="32">
        <f>H274*(1-1)</f>
        <v>0</v>
      </c>
      <c r="AQ274" s="29" t="s">
        <v>13</v>
      </c>
      <c r="AV274" s="32">
        <f>AW274+AX274</f>
        <v>0</v>
      </c>
      <c r="AW274" s="32">
        <f>G274*AO274</f>
        <v>0</v>
      </c>
      <c r="AX274" s="32">
        <f>G274*AP274</f>
        <v>0</v>
      </c>
      <c r="AY274" s="33" t="s">
        <v>664</v>
      </c>
      <c r="AZ274" s="33" t="s">
        <v>678</v>
      </c>
      <c r="BA274" s="28" t="s">
        <v>681</v>
      </c>
      <c r="BC274" s="32">
        <f>AW274+AX274</f>
        <v>0</v>
      </c>
      <c r="BD274" s="32">
        <f>H274/(100-BE274)*100</f>
        <v>0</v>
      </c>
      <c r="BE274" s="32">
        <v>0</v>
      </c>
      <c r="BF274" s="32">
        <f>272</f>
        <v>272</v>
      </c>
      <c r="BH274" s="17">
        <f>G274*AO274</f>
        <v>0</v>
      </c>
      <c r="BI274" s="17">
        <f>G274*AP274</f>
        <v>0</v>
      </c>
      <c r="BJ274" s="17">
        <f>G274*H274</f>
        <v>0</v>
      </c>
    </row>
    <row r="275" spans="1:62" x14ac:dyDescent="0.2">
      <c r="C275" s="58" t="s">
        <v>512</v>
      </c>
      <c r="D275" s="59"/>
      <c r="E275" s="59"/>
      <c r="G275" s="16">
        <v>2</v>
      </c>
    </row>
    <row r="276" spans="1:62" x14ac:dyDescent="0.2">
      <c r="A276" s="6" t="s">
        <v>91</v>
      </c>
      <c r="B276" s="6" t="s">
        <v>225</v>
      </c>
      <c r="C276" s="68" t="s">
        <v>513</v>
      </c>
      <c r="D276" s="69"/>
      <c r="E276" s="69"/>
      <c r="F276" s="6" t="s">
        <v>617</v>
      </c>
      <c r="G276" s="17">
        <v>1</v>
      </c>
      <c r="H276" s="17">
        <v>0</v>
      </c>
      <c r="I276" s="17">
        <f>G276*AO276</f>
        <v>0</v>
      </c>
      <c r="J276" s="17">
        <f>G276*AP276</f>
        <v>0</v>
      </c>
      <c r="K276" s="17">
        <f>G276*H276</f>
        <v>0</v>
      </c>
      <c r="L276" s="29"/>
      <c r="Z276" s="32">
        <f>IF(AQ276="5",BJ276,0)</f>
        <v>0</v>
      </c>
      <c r="AB276" s="32">
        <f>IF(AQ276="1",BH276,0)</f>
        <v>0</v>
      </c>
      <c r="AC276" s="32">
        <f>IF(AQ276="1",BI276,0)</f>
        <v>0</v>
      </c>
      <c r="AD276" s="32">
        <f>IF(AQ276="7",BH276,0)</f>
        <v>0</v>
      </c>
      <c r="AE276" s="32">
        <f>IF(AQ276="7",BI276,0)</f>
        <v>0</v>
      </c>
      <c r="AF276" s="32">
        <f>IF(AQ276="2",BH276,0)</f>
        <v>0</v>
      </c>
      <c r="AG276" s="32">
        <f>IF(AQ276="2",BI276,0)</f>
        <v>0</v>
      </c>
      <c r="AH276" s="32">
        <f>IF(AQ276="0",BJ276,0)</f>
        <v>0</v>
      </c>
      <c r="AI276" s="28"/>
      <c r="AJ276" s="17">
        <f>IF(AN276=0,K276,0)</f>
        <v>0</v>
      </c>
      <c r="AK276" s="17">
        <f>IF(AN276=15,K276,0)</f>
        <v>0</v>
      </c>
      <c r="AL276" s="17">
        <f>IF(AN276=21,K276,0)</f>
        <v>0</v>
      </c>
      <c r="AN276" s="32">
        <v>21</v>
      </c>
      <c r="AO276" s="32">
        <f>H276*1</f>
        <v>0</v>
      </c>
      <c r="AP276" s="32">
        <f>H276*(1-1)</f>
        <v>0</v>
      </c>
      <c r="AQ276" s="29" t="s">
        <v>13</v>
      </c>
      <c r="AV276" s="32">
        <f>AW276+AX276</f>
        <v>0</v>
      </c>
      <c r="AW276" s="32">
        <f>G276*AO276</f>
        <v>0</v>
      </c>
      <c r="AX276" s="32">
        <f>G276*AP276</f>
        <v>0</v>
      </c>
      <c r="AY276" s="33" t="s">
        <v>664</v>
      </c>
      <c r="AZ276" s="33" t="s">
        <v>678</v>
      </c>
      <c r="BA276" s="28" t="s">
        <v>681</v>
      </c>
      <c r="BC276" s="32">
        <f>AW276+AX276</f>
        <v>0</v>
      </c>
      <c r="BD276" s="32">
        <f>H276/(100-BE276)*100</f>
        <v>0</v>
      </c>
      <c r="BE276" s="32">
        <v>0</v>
      </c>
      <c r="BF276" s="32">
        <f>274</f>
        <v>274</v>
      </c>
      <c r="BH276" s="17">
        <f>G276*AO276</f>
        <v>0</v>
      </c>
      <c r="BI276" s="17">
        <f>G276*AP276</f>
        <v>0</v>
      </c>
      <c r="BJ276" s="17">
        <f>G276*H276</f>
        <v>0</v>
      </c>
    </row>
    <row r="277" spans="1:62" x14ac:dyDescent="0.2">
      <c r="C277" s="58" t="s">
        <v>514</v>
      </c>
      <c r="D277" s="59"/>
      <c r="E277" s="59"/>
      <c r="G277" s="16">
        <v>1</v>
      </c>
    </row>
    <row r="278" spans="1:62" x14ac:dyDescent="0.2">
      <c r="A278" s="4" t="s">
        <v>92</v>
      </c>
      <c r="B278" s="4" t="s">
        <v>226</v>
      </c>
      <c r="C278" s="60" t="s">
        <v>515</v>
      </c>
      <c r="D278" s="61"/>
      <c r="E278" s="61"/>
      <c r="F278" s="4" t="s">
        <v>618</v>
      </c>
      <c r="G278" s="15">
        <v>2.27319</v>
      </c>
      <c r="H278" s="15">
        <v>0</v>
      </c>
      <c r="I278" s="15">
        <f>G278*AO278</f>
        <v>0</v>
      </c>
      <c r="J278" s="15">
        <f>G278*AP278</f>
        <v>0</v>
      </c>
      <c r="K278" s="15">
        <f>G278*H278</f>
        <v>0</v>
      </c>
      <c r="L278" s="27" t="s">
        <v>636</v>
      </c>
      <c r="Z278" s="32">
        <f>IF(AQ278="5",BJ278,0)</f>
        <v>0</v>
      </c>
      <c r="AB278" s="32">
        <f>IF(AQ278="1",BH278,0)</f>
        <v>0</v>
      </c>
      <c r="AC278" s="32">
        <f>IF(AQ278="1",BI278,0)</f>
        <v>0</v>
      </c>
      <c r="AD278" s="32">
        <f>IF(AQ278="7",BH278,0)</f>
        <v>0</v>
      </c>
      <c r="AE278" s="32">
        <f>IF(AQ278="7",BI278,0)</f>
        <v>0</v>
      </c>
      <c r="AF278" s="32">
        <f>IF(AQ278="2",BH278,0)</f>
        <v>0</v>
      </c>
      <c r="AG278" s="32">
        <f>IF(AQ278="2",BI278,0)</f>
        <v>0</v>
      </c>
      <c r="AH278" s="32">
        <f>IF(AQ278="0",BJ278,0)</f>
        <v>0</v>
      </c>
      <c r="AI278" s="28"/>
      <c r="AJ278" s="15">
        <f>IF(AN278=0,K278,0)</f>
        <v>0</v>
      </c>
      <c r="AK278" s="15">
        <f>IF(AN278=15,K278,0)</f>
        <v>0</v>
      </c>
      <c r="AL278" s="15">
        <f>IF(AN278=21,K278,0)</f>
        <v>0</v>
      </c>
      <c r="AN278" s="32">
        <v>21</v>
      </c>
      <c r="AO278" s="32">
        <f>H278*0</f>
        <v>0</v>
      </c>
      <c r="AP278" s="32">
        <f>H278*(1-0)</f>
        <v>0</v>
      </c>
      <c r="AQ278" s="27" t="s">
        <v>11</v>
      </c>
      <c r="AV278" s="32">
        <f>AW278+AX278</f>
        <v>0</v>
      </c>
      <c r="AW278" s="32">
        <f>G278*AO278</f>
        <v>0</v>
      </c>
      <c r="AX278" s="32">
        <f>G278*AP278</f>
        <v>0</v>
      </c>
      <c r="AY278" s="33" t="s">
        <v>664</v>
      </c>
      <c r="AZ278" s="33" t="s">
        <v>678</v>
      </c>
      <c r="BA278" s="28" t="s">
        <v>681</v>
      </c>
      <c r="BC278" s="32">
        <f>AW278+AX278</f>
        <v>0</v>
      </c>
      <c r="BD278" s="32">
        <f>H278/(100-BE278)*100</f>
        <v>0</v>
      </c>
      <c r="BE278" s="32">
        <v>0</v>
      </c>
      <c r="BF278" s="32">
        <f>276</f>
        <v>276</v>
      </c>
      <c r="BH278" s="15">
        <f>G278*AO278</f>
        <v>0</v>
      </c>
      <c r="BI278" s="15">
        <f>G278*AP278</f>
        <v>0</v>
      </c>
      <c r="BJ278" s="15">
        <f>G278*H278</f>
        <v>0</v>
      </c>
    </row>
    <row r="279" spans="1:62" x14ac:dyDescent="0.2">
      <c r="C279" s="58" t="s">
        <v>516</v>
      </c>
      <c r="D279" s="59"/>
      <c r="E279" s="59"/>
      <c r="G279" s="16">
        <v>2.27319</v>
      </c>
    </row>
    <row r="280" spans="1:62" x14ac:dyDescent="0.2">
      <c r="A280" s="5"/>
      <c r="B280" s="13" t="s">
        <v>227</v>
      </c>
      <c r="C280" s="66" t="s">
        <v>517</v>
      </c>
      <c r="D280" s="67"/>
      <c r="E280" s="67"/>
      <c r="F280" s="5" t="s">
        <v>6</v>
      </c>
      <c r="G280" s="5" t="s">
        <v>6</v>
      </c>
      <c r="H280" s="5" t="s">
        <v>6</v>
      </c>
      <c r="I280" s="35">
        <f>SUM(I281:I287)</f>
        <v>0</v>
      </c>
      <c r="J280" s="35">
        <f>SUM(J281:J287)</f>
        <v>0</v>
      </c>
      <c r="K280" s="35">
        <f>SUM(K281:K287)</f>
        <v>0</v>
      </c>
      <c r="L280" s="28"/>
      <c r="AI280" s="28"/>
      <c r="AS280" s="35">
        <f>SUM(AJ281:AJ287)</f>
        <v>0</v>
      </c>
      <c r="AT280" s="35">
        <f>SUM(AK281:AK287)</f>
        <v>0</v>
      </c>
      <c r="AU280" s="35">
        <f>SUM(AL281:AL287)</f>
        <v>0</v>
      </c>
    </row>
    <row r="281" spans="1:62" x14ac:dyDescent="0.2">
      <c r="A281" s="4" t="s">
        <v>93</v>
      </c>
      <c r="B281" s="4" t="s">
        <v>228</v>
      </c>
      <c r="C281" s="60" t="s">
        <v>518</v>
      </c>
      <c r="D281" s="61"/>
      <c r="E281" s="61"/>
      <c r="F281" s="4" t="s">
        <v>617</v>
      </c>
      <c r="G281" s="15">
        <v>1</v>
      </c>
      <c r="H281" s="15">
        <v>0</v>
      </c>
      <c r="I281" s="15">
        <f>G281*AO281</f>
        <v>0</v>
      </c>
      <c r="J281" s="15">
        <f>G281*AP281</f>
        <v>0</v>
      </c>
      <c r="K281" s="15">
        <f>G281*H281</f>
        <v>0</v>
      </c>
      <c r="L281" s="27"/>
      <c r="Z281" s="32">
        <f>IF(AQ281="5",BJ281,0)</f>
        <v>0</v>
      </c>
      <c r="AB281" s="32">
        <f>IF(AQ281="1",BH281,0)</f>
        <v>0</v>
      </c>
      <c r="AC281" s="32">
        <f>IF(AQ281="1",BI281,0)</f>
        <v>0</v>
      </c>
      <c r="AD281" s="32">
        <f>IF(AQ281="7",BH281,0)</f>
        <v>0</v>
      </c>
      <c r="AE281" s="32">
        <f>IF(AQ281="7",BI281,0)</f>
        <v>0</v>
      </c>
      <c r="AF281" s="32">
        <f>IF(AQ281="2",BH281,0)</f>
        <v>0</v>
      </c>
      <c r="AG281" s="32">
        <f>IF(AQ281="2",BI281,0)</f>
        <v>0</v>
      </c>
      <c r="AH281" s="32">
        <f>IF(AQ281="0",BJ281,0)</f>
        <v>0</v>
      </c>
      <c r="AI281" s="28"/>
      <c r="AJ281" s="15">
        <f>IF(AN281=0,K281,0)</f>
        <v>0</v>
      </c>
      <c r="AK281" s="15">
        <f>IF(AN281=15,K281,0)</f>
        <v>0</v>
      </c>
      <c r="AL281" s="15">
        <f>IF(AN281=21,K281,0)</f>
        <v>0</v>
      </c>
      <c r="AN281" s="32">
        <v>21</v>
      </c>
      <c r="AO281" s="32">
        <f>H281*0.333334</f>
        <v>0</v>
      </c>
      <c r="AP281" s="32">
        <f>H281*(1-0.333334)</f>
        <v>0</v>
      </c>
      <c r="AQ281" s="27" t="s">
        <v>13</v>
      </c>
      <c r="AV281" s="32">
        <f>AW281+AX281</f>
        <v>0</v>
      </c>
      <c r="AW281" s="32">
        <f>G281*AO281</f>
        <v>0</v>
      </c>
      <c r="AX281" s="32">
        <f>G281*AP281</f>
        <v>0</v>
      </c>
      <c r="AY281" s="33" t="s">
        <v>665</v>
      </c>
      <c r="AZ281" s="33" t="s">
        <v>678</v>
      </c>
      <c r="BA281" s="28" t="s">
        <v>681</v>
      </c>
      <c r="BC281" s="32">
        <f>AW281+AX281</f>
        <v>0</v>
      </c>
      <c r="BD281" s="32">
        <f>H281/(100-BE281)*100</f>
        <v>0</v>
      </c>
      <c r="BE281" s="32">
        <v>0</v>
      </c>
      <c r="BF281" s="32">
        <f>279</f>
        <v>279</v>
      </c>
      <c r="BH281" s="15">
        <f>G281*AO281</f>
        <v>0</v>
      </c>
      <c r="BI281" s="15">
        <f>G281*AP281</f>
        <v>0</v>
      </c>
      <c r="BJ281" s="15">
        <f>G281*H281</f>
        <v>0</v>
      </c>
    </row>
    <row r="282" spans="1:62" x14ac:dyDescent="0.2">
      <c r="C282" s="58" t="s">
        <v>519</v>
      </c>
      <c r="D282" s="59"/>
      <c r="E282" s="59"/>
      <c r="G282" s="16">
        <v>1</v>
      </c>
    </row>
    <row r="283" spans="1:62" x14ac:dyDescent="0.2">
      <c r="A283" s="4" t="s">
        <v>94</v>
      </c>
      <c r="B283" s="4" t="s">
        <v>229</v>
      </c>
      <c r="C283" s="60" t="s">
        <v>520</v>
      </c>
      <c r="D283" s="61"/>
      <c r="E283" s="61"/>
      <c r="F283" s="4" t="s">
        <v>617</v>
      </c>
      <c r="G283" s="15">
        <v>1</v>
      </c>
      <c r="H283" s="15">
        <v>0</v>
      </c>
      <c r="I283" s="15">
        <f>G283*AO283</f>
        <v>0</v>
      </c>
      <c r="J283" s="15">
        <f>G283*AP283</f>
        <v>0</v>
      </c>
      <c r="K283" s="15">
        <f>G283*H283</f>
        <v>0</v>
      </c>
      <c r="L283" s="27"/>
      <c r="Z283" s="32">
        <f>IF(AQ283="5",BJ283,0)</f>
        <v>0</v>
      </c>
      <c r="AB283" s="32">
        <f>IF(AQ283="1",BH283,0)</f>
        <v>0</v>
      </c>
      <c r="AC283" s="32">
        <f>IF(AQ283="1",BI283,0)</f>
        <v>0</v>
      </c>
      <c r="AD283" s="32">
        <f>IF(AQ283="7",BH283,0)</f>
        <v>0</v>
      </c>
      <c r="AE283" s="32">
        <f>IF(AQ283="7",BI283,0)</f>
        <v>0</v>
      </c>
      <c r="AF283" s="32">
        <f>IF(AQ283="2",BH283,0)</f>
        <v>0</v>
      </c>
      <c r="AG283" s="32">
        <f>IF(AQ283="2",BI283,0)</f>
        <v>0</v>
      </c>
      <c r="AH283" s="32">
        <f>IF(AQ283="0",BJ283,0)</f>
        <v>0</v>
      </c>
      <c r="AI283" s="28"/>
      <c r="AJ283" s="15">
        <f>IF(AN283=0,K283,0)</f>
        <v>0</v>
      </c>
      <c r="AK283" s="15">
        <f>IF(AN283=15,K283,0)</f>
        <v>0</v>
      </c>
      <c r="AL283" s="15">
        <f>IF(AN283=21,K283,0)</f>
        <v>0</v>
      </c>
      <c r="AN283" s="32">
        <v>21</v>
      </c>
      <c r="AO283" s="32">
        <f>H283*0.75</f>
        <v>0</v>
      </c>
      <c r="AP283" s="32">
        <f>H283*(1-0.75)</f>
        <v>0</v>
      </c>
      <c r="AQ283" s="27" t="s">
        <v>13</v>
      </c>
      <c r="AV283" s="32">
        <f>AW283+AX283</f>
        <v>0</v>
      </c>
      <c r="AW283" s="32">
        <f>G283*AO283</f>
        <v>0</v>
      </c>
      <c r="AX283" s="32">
        <f>G283*AP283</f>
        <v>0</v>
      </c>
      <c r="AY283" s="33" t="s">
        <v>665</v>
      </c>
      <c r="AZ283" s="33" t="s">
        <v>678</v>
      </c>
      <c r="BA283" s="28" t="s">
        <v>681</v>
      </c>
      <c r="BC283" s="32">
        <f>AW283+AX283</f>
        <v>0</v>
      </c>
      <c r="BD283" s="32">
        <f>H283/(100-BE283)*100</f>
        <v>0</v>
      </c>
      <c r="BE283" s="32">
        <v>0</v>
      </c>
      <c r="BF283" s="32">
        <f>281</f>
        <v>281</v>
      </c>
      <c r="BH283" s="15">
        <f>G283*AO283</f>
        <v>0</v>
      </c>
      <c r="BI283" s="15">
        <f>G283*AP283</f>
        <v>0</v>
      </c>
      <c r="BJ283" s="15">
        <f>G283*H283</f>
        <v>0</v>
      </c>
    </row>
    <row r="284" spans="1:62" x14ac:dyDescent="0.2">
      <c r="C284" s="58" t="s">
        <v>521</v>
      </c>
      <c r="D284" s="59"/>
      <c r="E284" s="59"/>
      <c r="G284" s="16">
        <v>1</v>
      </c>
    </row>
    <row r="285" spans="1:62" x14ac:dyDescent="0.2">
      <c r="A285" s="4" t="s">
        <v>95</v>
      </c>
      <c r="B285" s="4" t="s">
        <v>230</v>
      </c>
      <c r="C285" s="60" t="s">
        <v>522</v>
      </c>
      <c r="D285" s="61"/>
      <c r="E285" s="61"/>
      <c r="F285" s="4" t="s">
        <v>617</v>
      </c>
      <c r="G285" s="15">
        <v>1</v>
      </c>
      <c r="H285" s="15">
        <v>0</v>
      </c>
      <c r="I285" s="15">
        <f>G285*AO285</f>
        <v>0</v>
      </c>
      <c r="J285" s="15">
        <f>G285*AP285</f>
        <v>0</v>
      </c>
      <c r="K285" s="15">
        <f>G285*H285</f>
        <v>0</v>
      </c>
      <c r="L285" s="27"/>
      <c r="Z285" s="32">
        <f>IF(AQ285="5",BJ285,0)</f>
        <v>0</v>
      </c>
      <c r="AB285" s="32">
        <f>IF(AQ285="1",BH285,0)</f>
        <v>0</v>
      </c>
      <c r="AC285" s="32">
        <f>IF(AQ285="1",BI285,0)</f>
        <v>0</v>
      </c>
      <c r="AD285" s="32">
        <f>IF(AQ285="7",BH285,0)</f>
        <v>0</v>
      </c>
      <c r="AE285" s="32">
        <f>IF(AQ285="7",BI285,0)</f>
        <v>0</v>
      </c>
      <c r="AF285" s="32">
        <f>IF(AQ285="2",BH285,0)</f>
        <v>0</v>
      </c>
      <c r="AG285" s="32">
        <f>IF(AQ285="2",BI285,0)</f>
        <v>0</v>
      </c>
      <c r="AH285" s="32">
        <f>IF(AQ285="0",BJ285,0)</f>
        <v>0</v>
      </c>
      <c r="AI285" s="28"/>
      <c r="AJ285" s="15">
        <f>IF(AN285=0,K285,0)</f>
        <v>0</v>
      </c>
      <c r="AK285" s="15">
        <f>IF(AN285=15,K285,0)</f>
        <v>0</v>
      </c>
      <c r="AL285" s="15">
        <f>IF(AN285=21,K285,0)</f>
        <v>0</v>
      </c>
      <c r="AN285" s="32">
        <v>21</v>
      </c>
      <c r="AO285" s="32">
        <f>H285*0.5</f>
        <v>0</v>
      </c>
      <c r="AP285" s="32">
        <f>H285*(1-0.5)</f>
        <v>0</v>
      </c>
      <c r="AQ285" s="27" t="s">
        <v>13</v>
      </c>
      <c r="AV285" s="32">
        <f>AW285+AX285</f>
        <v>0</v>
      </c>
      <c r="AW285" s="32">
        <f>G285*AO285</f>
        <v>0</v>
      </c>
      <c r="AX285" s="32">
        <f>G285*AP285</f>
        <v>0</v>
      </c>
      <c r="AY285" s="33" t="s">
        <v>665</v>
      </c>
      <c r="AZ285" s="33" t="s">
        <v>678</v>
      </c>
      <c r="BA285" s="28" t="s">
        <v>681</v>
      </c>
      <c r="BC285" s="32">
        <f>AW285+AX285</f>
        <v>0</v>
      </c>
      <c r="BD285" s="32">
        <f>H285/(100-BE285)*100</f>
        <v>0</v>
      </c>
      <c r="BE285" s="32">
        <v>0</v>
      </c>
      <c r="BF285" s="32">
        <f>283</f>
        <v>283</v>
      </c>
      <c r="BH285" s="15">
        <f>G285*AO285</f>
        <v>0</v>
      </c>
      <c r="BI285" s="15">
        <f>G285*AP285</f>
        <v>0</v>
      </c>
      <c r="BJ285" s="15">
        <f>G285*H285</f>
        <v>0</v>
      </c>
    </row>
    <row r="286" spans="1:62" x14ac:dyDescent="0.2">
      <c r="C286" s="58" t="s">
        <v>523</v>
      </c>
      <c r="D286" s="59"/>
      <c r="E286" s="59"/>
      <c r="G286" s="16">
        <v>1</v>
      </c>
    </row>
    <row r="287" spans="1:62" x14ac:dyDescent="0.2">
      <c r="A287" s="4" t="s">
        <v>96</v>
      </c>
      <c r="B287" s="4" t="s">
        <v>231</v>
      </c>
      <c r="C287" s="60" t="s">
        <v>524</v>
      </c>
      <c r="D287" s="61"/>
      <c r="E287" s="61"/>
      <c r="F287" s="4" t="s">
        <v>618</v>
      </c>
      <c r="G287" s="15">
        <v>0.05</v>
      </c>
      <c r="H287" s="15">
        <v>0</v>
      </c>
      <c r="I287" s="15">
        <f>G287*AO287</f>
        <v>0</v>
      </c>
      <c r="J287" s="15">
        <f>G287*AP287</f>
        <v>0</v>
      </c>
      <c r="K287" s="15">
        <f>G287*H287</f>
        <v>0</v>
      </c>
      <c r="L287" s="27" t="s">
        <v>636</v>
      </c>
      <c r="Z287" s="32">
        <f>IF(AQ287="5",BJ287,0)</f>
        <v>0</v>
      </c>
      <c r="AB287" s="32">
        <f>IF(AQ287="1",BH287,0)</f>
        <v>0</v>
      </c>
      <c r="AC287" s="32">
        <f>IF(AQ287="1",BI287,0)</f>
        <v>0</v>
      </c>
      <c r="AD287" s="32">
        <f>IF(AQ287="7",BH287,0)</f>
        <v>0</v>
      </c>
      <c r="AE287" s="32">
        <f>IF(AQ287="7",BI287,0)</f>
        <v>0</v>
      </c>
      <c r="AF287" s="32">
        <f>IF(AQ287="2",BH287,0)</f>
        <v>0</v>
      </c>
      <c r="AG287" s="32">
        <f>IF(AQ287="2",BI287,0)</f>
        <v>0</v>
      </c>
      <c r="AH287" s="32">
        <f>IF(AQ287="0",BJ287,0)</f>
        <v>0</v>
      </c>
      <c r="AI287" s="28"/>
      <c r="AJ287" s="15">
        <f>IF(AN287=0,K287,0)</f>
        <v>0</v>
      </c>
      <c r="AK287" s="15">
        <f>IF(AN287=15,K287,0)</f>
        <v>0</v>
      </c>
      <c r="AL287" s="15">
        <f>IF(AN287=21,K287,0)</f>
        <v>0</v>
      </c>
      <c r="AN287" s="32">
        <v>21</v>
      </c>
      <c r="AO287" s="32">
        <f>H287*0</f>
        <v>0</v>
      </c>
      <c r="AP287" s="32">
        <f>H287*(1-0)</f>
        <v>0</v>
      </c>
      <c r="AQ287" s="27" t="s">
        <v>11</v>
      </c>
      <c r="AV287" s="32">
        <f>AW287+AX287</f>
        <v>0</v>
      </c>
      <c r="AW287" s="32">
        <f>G287*AO287</f>
        <v>0</v>
      </c>
      <c r="AX287" s="32">
        <f>G287*AP287</f>
        <v>0</v>
      </c>
      <c r="AY287" s="33" t="s">
        <v>665</v>
      </c>
      <c r="AZ287" s="33" t="s">
        <v>678</v>
      </c>
      <c r="BA287" s="28" t="s">
        <v>681</v>
      </c>
      <c r="BC287" s="32">
        <f>AW287+AX287</f>
        <v>0</v>
      </c>
      <c r="BD287" s="32">
        <f>H287/(100-BE287)*100</f>
        <v>0</v>
      </c>
      <c r="BE287" s="32">
        <v>0</v>
      </c>
      <c r="BF287" s="32">
        <f>285</f>
        <v>285</v>
      </c>
      <c r="BH287" s="15">
        <f>G287*AO287</f>
        <v>0</v>
      </c>
      <c r="BI287" s="15">
        <f>G287*AP287</f>
        <v>0</v>
      </c>
      <c r="BJ287" s="15">
        <f>G287*H287</f>
        <v>0</v>
      </c>
    </row>
    <row r="288" spans="1:62" x14ac:dyDescent="0.2">
      <c r="C288" s="58" t="s">
        <v>525</v>
      </c>
      <c r="D288" s="59"/>
      <c r="E288" s="59"/>
      <c r="G288" s="16">
        <v>0.05</v>
      </c>
    </row>
    <row r="289" spans="1:62" x14ac:dyDescent="0.2">
      <c r="A289" s="5"/>
      <c r="B289" s="13" t="s">
        <v>232</v>
      </c>
      <c r="C289" s="66" t="s">
        <v>526</v>
      </c>
      <c r="D289" s="67"/>
      <c r="E289" s="67"/>
      <c r="F289" s="5" t="s">
        <v>6</v>
      </c>
      <c r="G289" s="5" t="s">
        <v>6</v>
      </c>
      <c r="H289" s="5" t="s">
        <v>6</v>
      </c>
      <c r="I289" s="35">
        <f>SUM(I290:I290)</f>
        <v>0</v>
      </c>
      <c r="J289" s="35">
        <f>SUM(J290:J290)</f>
        <v>0</v>
      </c>
      <c r="K289" s="35">
        <f>SUM(K290:K290)</f>
        <v>0</v>
      </c>
      <c r="L289" s="28"/>
      <c r="AI289" s="28"/>
      <c r="AS289" s="35">
        <f>SUM(AJ290:AJ290)</f>
        <v>0</v>
      </c>
      <c r="AT289" s="35">
        <f>SUM(AK290:AK290)</f>
        <v>0</v>
      </c>
      <c r="AU289" s="35">
        <f>SUM(AL290:AL290)</f>
        <v>0</v>
      </c>
    </row>
    <row r="290" spans="1:62" x14ac:dyDescent="0.2">
      <c r="A290" s="4" t="s">
        <v>97</v>
      </c>
      <c r="B290" s="4" t="s">
        <v>233</v>
      </c>
      <c r="C290" s="60" t="s">
        <v>527</v>
      </c>
      <c r="D290" s="61"/>
      <c r="E290" s="61"/>
      <c r="F290" s="4" t="s">
        <v>613</v>
      </c>
      <c r="G290" s="15">
        <v>92.42</v>
      </c>
      <c r="H290" s="15">
        <v>0</v>
      </c>
      <c r="I290" s="15">
        <f>G290*AO290</f>
        <v>0</v>
      </c>
      <c r="J290" s="15">
        <f>G290*AP290</f>
        <v>0</v>
      </c>
      <c r="K290" s="15">
        <f>G290*H290</f>
        <v>0</v>
      </c>
      <c r="L290" s="27" t="s">
        <v>636</v>
      </c>
      <c r="Z290" s="32">
        <f>IF(AQ290="5",BJ290,0)</f>
        <v>0</v>
      </c>
      <c r="AB290" s="32">
        <f>IF(AQ290="1",BH290,0)</f>
        <v>0</v>
      </c>
      <c r="AC290" s="32">
        <f>IF(AQ290="1",BI290,0)</f>
        <v>0</v>
      </c>
      <c r="AD290" s="32">
        <f>IF(AQ290="7",BH290,0)</f>
        <v>0</v>
      </c>
      <c r="AE290" s="32">
        <f>IF(AQ290="7",BI290,0)</f>
        <v>0</v>
      </c>
      <c r="AF290" s="32">
        <f>IF(AQ290="2",BH290,0)</f>
        <v>0</v>
      </c>
      <c r="AG290" s="32">
        <f>IF(AQ290="2",BI290,0)</f>
        <v>0</v>
      </c>
      <c r="AH290" s="32">
        <f>IF(AQ290="0",BJ290,0)</f>
        <v>0</v>
      </c>
      <c r="AI290" s="28"/>
      <c r="AJ290" s="15">
        <f>IF(AN290=0,K290,0)</f>
        <v>0</v>
      </c>
      <c r="AK290" s="15">
        <f>IF(AN290=15,K290,0)</f>
        <v>0</v>
      </c>
      <c r="AL290" s="15">
        <f>IF(AN290=21,K290,0)</f>
        <v>0</v>
      </c>
      <c r="AN290" s="32">
        <v>21</v>
      </c>
      <c r="AO290" s="32">
        <f>H290*0.0673955682519742</f>
        <v>0</v>
      </c>
      <c r="AP290" s="32">
        <f>H290*(1-0.0673955682519742)</f>
        <v>0</v>
      </c>
      <c r="AQ290" s="27" t="s">
        <v>13</v>
      </c>
      <c r="AV290" s="32">
        <f>AW290+AX290</f>
        <v>0</v>
      </c>
      <c r="AW290" s="32">
        <f>G290*AO290</f>
        <v>0</v>
      </c>
      <c r="AX290" s="32">
        <f>G290*AP290</f>
        <v>0</v>
      </c>
      <c r="AY290" s="33" t="s">
        <v>666</v>
      </c>
      <c r="AZ290" s="33" t="s">
        <v>679</v>
      </c>
      <c r="BA290" s="28" t="s">
        <v>681</v>
      </c>
      <c r="BC290" s="32">
        <f>AW290+AX290</f>
        <v>0</v>
      </c>
      <c r="BD290" s="32">
        <f>H290/(100-BE290)*100</f>
        <v>0</v>
      </c>
      <c r="BE290" s="32">
        <v>0</v>
      </c>
      <c r="BF290" s="32">
        <f>288</f>
        <v>288</v>
      </c>
      <c r="BH290" s="15">
        <f>G290*AO290</f>
        <v>0</v>
      </c>
      <c r="BI290" s="15">
        <f>G290*AP290</f>
        <v>0</v>
      </c>
      <c r="BJ290" s="15">
        <f>G290*H290</f>
        <v>0</v>
      </c>
    </row>
    <row r="291" spans="1:62" x14ac:dyDescent="0.2">
      <c r="C291" s="58" t="s">
        <v>528</v>
      </c>
      <c r="D291" s="59"/>
      <c r="E291" s="59"/>
      <c r="G291" s="16">
        <v>92.42</v>
      </c>
    </row>
    <row r="292" spans="1:62" x14ac:dyDescent="0.2">
      <c r="A292" s="5"/>
      <c r="B292" s="13" t="s">
        <v>100</v>
      </c>
      <c r="C292" s="66" t="s">
        <v>529</v>
      </c>
      <c r="D292" s="67"/>
      <c r="E292" s="67"/>
      <c r="F292" s="5" t="s">
        <v>6</v>
      </c>
      <c r="G292" s="5" t="s">
        <v>6</v>
      </c>
      <c r="H292" s="5" t="s">
        <v>6</v>
      </c>
      <c r="I292" s="35">
        <f>SUM(I293:I306)</f>
        <v>0</v>
      </c>
      <c r="J292" s="35">
        <f>SUM(J293:J306)</f>
        <v>0</v>
      </c>
      <c r="K292" s="35">
        <f>SUM(K293:K306)</f>
        <v>0</v>
      </c>
      <c r="L292" s="28"/>
      <c r="AI292" s="28"/>
      <c r="AS292" s="35">
        <f>SUM(AJ293:AJ306)</f>
        <v>0</v>
      </c>
      <c r="AT292" s="35">
        <f>SUM(AK293:AK306)</f>
        <v>0</v>
      </c>
      <c r="AU292" s="35">
        <f>SUM(AL293:AL306)</f>
        <v>0</v>
      </c>
    </row>
    <row r="293" spans="1:62" x14ac:dyDescent="0.2">
      <c r="A293" s="4" t="s">
        <v>98</v>
      </c>
      <c r="B293" s="4" t="s">
        <v>234</v>
      </c>
      <c r="C293" s="60" t="s">
        <v>530</v>
      </c>
      <c r="D293" s="61"/>
      <c r="E293" s="61"/>
      <c r="F293" s="4" t="s">
        <v>613</v>
      </c>
      <c r="G293" s="15">
        <v>499</v>
      </c>
      <c r="H293" s="15">
        <v>0</v>
      </c>
      <c r="I293" s="15">
        <f>G293*AO293</f>
        <v>0</v>
      </c>
      <c r="J293" s="15">
        <f>G293*AP293</f>
        <v>0</v>
      </c>
      <c r="K293" s="15">
        <f>G293*H293</f>
        <v>0</v>
      </c>
      <c r="L293" s="27" t="s">
        <v>636</v>
      </c>
      <c r="Z293" s="32">
        <f>IF(AQ293="5",BJ293,0)</f>
        <v>0</v>
      </c>
      <c r="AB293" s="32">
        <f>IF(AQ293="1",BH293,0)</f>
        <v>0</v>
      </c>
      <c r="AC293" s="32">
        <f>IF(AQ293="1",BI293,0)</f>
        <v>0</v>
      </c>
      <c r="AD293" s="32">
        <f>IF(AQ293="7",BH293,0)</f>
        <v>0</v>
      </c>
      <c r="AE293" s="32">
        <f>IF(AQ293="7",BI293,0)</f>
        <v>0</v>
      </c>
      <c r="AF293" s="32">
        <f>IF(AQ293="2",BH293,0)</f>
        <v>0</v>
      </c>
      <c r="AG293" s="32">
        <f>IF(AQ293="2",BI293,0)</f>
        <v>0</v>
      </c>
      <c r="AH293" s="32">
        <f>IF(AQ293="0",BJ293,0)</f>
        <v>0</v>
      </c>
      <c r="AI293" s="28"/>
      <c r="AJ293" s="15">
        <f>IF(AN293=0,K293,0)</f>
        <v>0</v>
      </c>
      <c r="AK293" s="15">
        <f>IF(AN293=15,K293,0)</f>
        <v>0</v>
      </c>
      <c r="AL293" s="15">
        <f>IF(AN293=21,K293,0)</f>
        <v>0</v>
      </c>
      <c r="AN293" s="32">
        <v>21</v>
      </c>
      <c r="AO293" s="32">
        <f>H293*0.000137193030594046</f>
        <v>0</v>
      </c>
      <c r="AP293" s="32">
        <f>H293*(1-0.000137193030594046)</f>
        <v>0</v>
      </c>
      <c r="AQ293" s="27" t="s">
        <v>7</v>
      </c>
      <c r="AV293" s="32">
        <f>AW293+AX293</f>
        <v>0</v>
      </c>
      <c r="AW293" s="32">
        <f>G293*AO293</f>
        <v>0</v>
      </c>
      <c r="AX293" s="32">
        <f>G293*AP293</f>
        <v>0</v>
      </c>
      <c r="AY293" s="33" t="s">
        <v>667</v>
      </c>
      <c r="AZ293" s="33" t="s">
        <v>680</v>
      </c>
      <c r="BA293" s="28" t="s">
        <v>681</v>
      </c>
      <c r="BC293" s="32">
        <f>AW293+AX293</f>
        <v>0</v>
      </c>
      <c r="BD293" s="32">
        <f>H293/(100-BE293)*100</f>
        <v>0</v>
      </c>
      <c r="BE293" s="32">
        <v>0</v>
      </c>
      <c r="BF293" s="32">
        <f>291</f>
        <v>291</v>
      </c>
      <c r="BH293" s="15">
        <f>G293*AO293</f>
        <v>0</v>
      </c>
      <c r="BI293" s="15">
        <f>G293*AP293</f>
        <v>0</v>
      </c>
      <c r="BJ293" s="15">
        <f>G293*H293</f>
        <v>0</v>
      </c>
    </row>
    <row r="294" spans="1:62" x14ac:dyDescent="0.2">
      <c r="C294" s="58" t="s">
        <v>531</v>
      </c>
      <c r="D294" s="59"/>
      <c r="E294" s="59"/>
      <c r="G294" s="16">
        <v>475</v>
      </c>
    </row>
    <row r="295" spans="1:62" x14ac:dyDescent="0.2">
      <c r="C295" s="58" t="s">
        <v>532</v>
      </c>
      <c r="D295" s="59"/>
      <c r="E295" s="59"/>
      <c r="G295" s="16">
        <v>24</v>
      </c>
    </row>
    <row r="296" spans="1:62" x14ac:dyDescent="0.2">
      <c r="A296" s="4" t="s">
        <v>99</v>
      </c>
      <c r="B296" s="4" t="s">
        <v>235</v>
      </c>
      <c r="C296" s="60" t="s">
        <v>533</v>
      </c>
      <c r="D296" s="61"/>
      <c r="E296" s="61"/>
      <c r="F296" s="4" t="s">
        <v>613</v>
      </c>
      <c r="G296" s="15">
        <v>998</v>
      </c>
      <c r="H296" s="15">
        <v>0</v>
      </c>
      <c r="I296" s="15">
        <f>G296*AO296</f>
        <v>0</v>
      </c>
      <c r="J296" s="15">
        <f>G296*AP296</f>
        <v>0</v>
      </c>
      <c r="K296" s="15">
        <f>G296*H296</f>
        <v>0</v>
      </c>
      <c r="L296" s="27" t="s">
        <v>636</v>
      </c>
      <c r="Z296" s="32">
        <f>IF(AQ296="5",BJ296,0)</f>
        <v>0</v>
      </c>
      <c r="AB296" s="32">
        <f>IF(AQ296="1",BH296,0)</f>
        <v>0</v>
      </c>
      <c r="AC296" s="32">
        <f>IF(AQ296="1",BI296,0)</f>
        <v>0</v>
      </c>
      <c r="AD296" s="32">
        <f>IF(AQ296="7",BH296,0)</f>
        <v>0</v>
      </c>
      <c r="AE296" s="32">
        <f>IF(AQ296="7",BI296,0)</f>
        <v>0</v>
      </c>
      <c r="AF296" s="32">
        <f>IF(AQ296="2",BH296,0)</f>
        <v>0</v>
      </c>
      <c r="AG296" s="32">
        <f>IF(AQ296="2",BI296,0)</f>
        <v>0</v>
      </c>
      <c r="AH296" s="32">
        <f>IF(AQ296="0",BJ296,0)</f>
        <v>0</v>
      </c>
      <c r="AI296" s="28"/>
      <c r="AJ296" s="15">
        <f>IF(AN296=0,K296,0)</f>
        <v>0</v>
      </c>
      <c r="AK296" s="15">
        <f>IF(AN296=15,K296,0)</f>
        <v>0</v>
      </c>
      <c r="AL296" s="15">
        <f>IF(AN296=21,K296,0)</f>
        <v>0</v>
      </c>
      <c r="AN296" s="32">
        <v>21</v>
      </c>
      <c r="AO296" s="32">
        <f>H296*0.902830188679245</f>
        <v>0</v>
      </c>
      <c r="AP296" s="32">
        <f>H296*(1-0.902830188679245)</f>
        <v>0</v>
      </c>
      <c r="AQ296" s="27" t="s">
        <v>7</v>
      </c>
      <c r="AV296" s="32">
        <f>AW296+AX296</f>
        <v>0</v>
      </c>
      <c r="AW296" s="32">
        <f>G296*AO296</f>
        <v>0</v>
      </c>
      <c r="AX296" s="32">
        <f>G296*AP296</f>
        <v>0</v>
      </c>
      <c r="AY296" s="33" t="s">
        <v>667</v>
      </c>
      <c r="AZ296" s="33" t="s">
        <v>680</v>
      </c>
      <c r="BA296" s="28" t="s">
        <v>681</v>
      </c>
      <c r="BC296" s="32">
        <f>AW296+AX296</f>
        <v>0</v>
      </c>
      <c r="BD296" s="32">
        <f>H296/(100-BE296)*100</f>
        <v>0</v>
      </c>
      <c r="BE296" s="32">
        <v>0</v>
      </c>
      <c r="BF296" s="32">
        <f>294</f>
        <v>294</v>
      </c>
      <c r="BH296" s="15">
        <f>G296*AO296</f>
        <v>0</v>
      </c>
      <c r="BI296" s="15">
        <f>G296*AP296</f>
        <v>0</v>
      </c>
      <c r="BJ296" s="15">
        <f>G296*H296</f>
        <v>0</v>
      </c>
    </row>
    <row r="297" spans="1:62" x14ac:dyDescent="0.2">
      <c r="C297" s="58" t="s">
        <v>534</v>
      </c>
      <c r="D297" s="59"/>
      <c r="E297" s="59"/>
      <c r="G297" s="16">
        <v>998</v>
      </c>
    </row>
    <row r="298" spans="1:62" x14ac:dyDescent="0.2">
      <c r="A298" s="4" t="s">
        <v>100</v>
      </c>
      <c r="B298" s="4" t="s">
        <v>236</v>
      </c>
      <c r="C298" s="60" t="s">
        <v>535</v>
      </c>
      <c r="D298" s="61"/>
      <c r="E298" s="61"/>
      <c r="F298" s="4" t="s">
        <v>613</v>
      </c>
      <c r="G298" s="15">
        <v>499</v>
      </c>
      <c r="H298" s="15">
        <v>0</v>
      </c>
      <c r="I298" s="15">
        <f>G298*AO298</f>
        <v>0</v>
      </c>
      <c r="J298" s="15">
        <f>G298*AP298</f>
        <v>0</v>
      </c>
      <c r="K298" s="15">
        <f>G298*H298</f>
        <v>0</v>
      </c>
      <c r="L298" s="27" t="s">
        <v>636</v>
      </c>
      <c r="Z298" s="32">
        <f>IF(AQ298="5",BJ298,0)</f>
        <v>0</v>
      </c>
      <c r="AB298" s="32">
        <f>IF(AQ298="1",BH298,0)</f>
        <v>0</v>
      </c>
      <c r="AC298" s="32">
        <f>IF(AQ298="1",BI298,0)</f>
        <v>0</v>
      </c>
      <c r="AD298" s="32">
        <f>IF(AQ298="7",BH298,0)</f>
        <v>0</v>
      </c>
      <c r="AE298" s="32">
        <f>IF(AQ298="7",BI298,0)</f>
        <v>0</v>
      </c>
      <c r="AF298" s="32">
        <f>IF(AQ298="2",BH298,0)</f>
        <v>0</v>
      </c>
      <c r="AG298" s="32">
        <f>IF(AQ298="2",BI298,0)</f>
        <v>0</v>
      </c>
      <c r="AH298" s="32">
        <f>IF(AQ298="0",BJ298,0)</f>
        <v>0</v>
      </c>
      <c r="AI298" s="28"/>
      <c r="AJ298" s="15">
        <f>IF(AN298=0,K298,0)</f>
        <v>0</v>
      </c>
      <c r="AK298" s="15">
        <f>IF(AN298=15,K298,0)</f>
        <v>0</v>
      </c>
      <c r="AL298" s="15">
        <f>IF(AN298=21,K298,0)</f>
        <v>0</v>
      </c>
      <c r="AN298" s="32">
        <v>21</v>
      </c>
      <c r="AO298" s="32">
        <f>H298*0</f>
        <v>0</v>
      </c>
      <c r="AP298" s="32">
        <f>H298*(1-0)</f>
        <v>0</v>
      </c>
      <c r="AQ298" s="27" t="s">
        <v>7</v>
      </c>
      <c r="AV298" s="32">
        <f>AW298+AX298</f>
        <v>0</v>
      </c>
      <c r="AW298" s="32">
        <f>G298*AO298</f>
        <v>0</v>
      </c>
      <c r="AX298" s="32">
        <f>G298*AP298</f>
        <v>0</v>
      </c>
      <c r="AY298" s="33" t="s">
        <v>667</v>
      </c>
      <c r="AZ298" s="33" t="s">
        <v>680</v>
      </c>
      <c r="BA298" s="28" t="s">
        <v>681</v>
      </c>
      <c r="BC298" s="32">
        <f>AW298+AX298</f>
        <v>0</v>
      </c>
      <c r="BD298" s="32">
        <f>H298/(100-BE298)*100</f>
        <v>0</v>
      </c>
      <c r="BE298" s="32">
        <v>0</v>
      </c>
      <c r="BF298" s="32">
        <f>296</f>
        <v>296</v>
      </c>
      <c r="BH298" s="15">
        <f>G298*AO298</f>
        <v>0</v>
      </c>
      <c r="BI298" s="15">
        <f>G298*AP298</f>
        <v>0</v>
      </c>
      <c r="BJ298" s="15">
        <f>G298*H298</f>
        <v>0</v>
      </c>
    </row>
    <row r="299" spans="1:62" x14ac:dyDescent="0.2">
      <c r="C299" s="58" t="s">
        <v>536</v>
      </c>
      <c r="D299" s="59"/>
      <c r="E299" s="59"/>
      <c r="G299" s="16">
        <v>499</v>
      </c>
    </row>
    <row r="300" spans="1:62" x14ac:dyDescent="0.2">
      <c r="A300" s="4" t="s">
        <v>101</v>
      </c>
      <c r="B300" s="4" t="s">
        <v>237</v>
      </c>
      <c r="C300" s="60" t="s">
        <v>537</v>
      </c>
      <c r="D300" s="61"/>
      <c r="E300" s="61"/>
      <c r="F300" s="4" t="s">
        <v>613</v>
      </c>
      <c r="G300" s="15">
        <v>499</v>
      </c>
      <c r="H300" s="15">
        <v>0</v>
      </c>
      <c r="I300" s="15">
        <f>G300*AO300</f>
        <v>0</v>
      </c>
      <c r="J300" s="15">
        <f>G300*AP300</f>
        <v>0</v>
      </c>
      <c r="K300" s="15">
        <f>G300*H300</f>
        <v>0</v>
      </c>
      <c r="L300" s="27" t="s">
        <v>636</v>
      </c>
      <c r="Z300" s="32">
        <f>IF(AQ300="5",BJ300,0)</f>
        <v>0</v>
      </c>
      <c r="AB300" s="32">
        <f>IF(AQ300="1",BH300,0)</f>
        <v>0</v>
      </c>
      <c r="AC300" s="32">
        <f>IF(AQ300="1",BI300,0)</f>
        <v>0</v>
      </c>
      <c r="AD300" s="32">
        <f>IF(AQ300="7",BH300,0)</f>
        <v>0</v>
      </c>
      <c r="AE300" s="32">
        <f>IF(AQ300="7",BI300,0)</f>
        <v>0</v>
      </c>
      <c r="AF300" s="32">
        <f>IF(AQ300="2",BH300,0)</f>
        <v>0</v>
      </c>
      <c r="AG300" s="32">
        <f>IF(AQ300="2",BI300,0)</f>
        <v>0</v>
      </c>
      <c r="AH300" s="32">
        <f>IF(AQ300="0",BJ300,0)</f>
        <v>0</v>
      </c>
      <c r="AI300" s="28"/>
      <c r="AJ300" s="15">
        <f>IF(AN300=0,K300,0)</f>
        <v>0</v>
      </c>
      <c r="AK300" s="15">
        <f>IF(AN300=15,K300,0)</f>
        <v>0</v>
      </c>
      <c r="AL300" s="15">
        <f>IF(AN300=21,K300,0)</f>
        <v>0</v>
      </c>
      <c r="AN300" s="32">
        <v>21</v>
      </c>
      <c r="AO300" s="32">
        <f>H300*0</f>
        <v>0</v>
      </c>
      <c r="AP300" s="32">
        <f>H300*(1-0)</f>
        <v>0</v>
      </c>
      <c r="AQ300" s="27" t="s">
        <v>7</v>
      </c>
      <c r="AV300" s="32">
        <f>AW300+AX300</f>
        <v>0</v>
      </c>
      <c r="AW300" s="32">
        <f>G300*AO300</f>
        <v>0</v>
      </c>
      <c r="AX300" s="32">
        <f>G300*AP300</f>
        <v>0</v>
      </c>
      <c r="AY300" s="33" t="s">
        <v>667</v>
      </c>
      <c r="AZ300" s="33" t="s">
        <v>680</v>
      </c>
      <c r="BA300" s="28" t="s">
        <v>681</v>
      </c>
      <c r="BC300" s="32">
        <f>AW300+AX300</f>
        <v>0</v>
      </c>
      <c r="BD300" s="32">
        <f>H300/(100-BE300)*100</f>
        <v>0</v>
      </c>
      <c r="BE300" s="32">
        <v>0</v>
      </c>
      <c r="BF300" s="32">
        <f>298</f>
        <v>298</v>
      </c>
      <c r="BH300" s="15">
        <f>G300*AO300</f>
        <v>0</v>
      </c>
      <c r="BI300" s="15">
        <f>G300*AP300</f>
        <v>0</v>
      </c>
      <c r="BJ300" s="15">
        <f>G300*H300</f>
        <v>0</v>
      </c>
    </row>
    <row r="301" spans="1:62" x14ac:dyDescent="0.2">
      <c r="C301" s="58" t="s">
        <v>538</v>
      </c>
      <c r="D301" s="59"/>
      <c r="E301" s="59"/>
      <c r="G301" s="16">
        <v>499</v>
      </c>
    </row>
    <row r="302" spans="1:62" x14ac:dyDescent="0.2">
      <c r="A302" s="4" t="s">
        <v>102</v>
      </c>
      <c r="B302" s="4" t="s">
        <v>238</v>
      </c>
      <c r="C302" s="60" t="s">
        <v>539</v>
      </c>
      <c r="D302" s="61"/>
      <c r="E302" s="61"/>
      <c r="F302" s="4" t="s">
        <v>613</v>
      </c>
      <c r="G302" s="15">
        <v>998</v>
      </c>
      <c r="H302" s="15">
        <v>0</v>
      </c>
      <c r="I302" s="15">
        <f>G302*AO302</f>
        <v>0</v>
      </c>
      <c r="J302" s="15">
        <f>G302*AP302</f>
        <v>0</v>
      </c>
      <c r="K302" s="15">
        <f>G302*H302</f>
        <v>0</v>
      </c>
      <c r="L302" s="27" t="s">
        <v>636</v>
      </c>
      <c r="Z302" s="32">
        <f>IF(AQ302="5",BJ302,0)</f>
        <v>0</v>
      </c>
      <c r="AB302" s="32">
        <f>IF(AQ302="1",BH302,0)</f>
        <v>0</v>
      </c>
      <c r="AC302" s="32">
        <f>IF(AQ302="1",BI302,0)</f>
        <v>0</v>
      </c>
      <c r="AD302" s="32">
        <f>IF(AQ302="7",BH302,0)</f>
        <v>0</v>
      </c>
      <c r="AE302" s="32">
        <f>IF(AQ302="7",BI302,0)</f>
        <v>0</v>
      </c>
      <c r="AF302" s="32">
        <f>IF(AQ302="2",BH302,0)</f>
        <v>0</v>
      </c>
      <c r="AG302" s="32">
        <f>IF(AQ302="2",BI302,0)</f>
        <v>0</v>
      </c>
      <c r="AH302" s="32">
        <f>IF(AQ302="0",BJ302,0)</f>
        <v>0</v>
      </c>
      <c r="AI302" s="28"/>
      <c r="AJ302" s="15">
        <f>IF(AN302=0,K302,0)</f>
        <v>0</v>
      </c>
      <c r="AK302" s="15">
        <f>IF(AN302=15,K302,0)</f>
        <v>0</v>
      </c>
      <c r="AL302" s="15">
        <f>IF(AN302=21,K302,0)</f>
        <v>0</v>
      </c>
      <c r="AN302" s="32">
        <v>21</v>
      </c>
      <c r="AO302" s="32">
        <f>H302*1</f>
        <v>0</v>
      </c>
      <c r="AP302" s="32">
        <f>H302*(1-1)</f>
        <v>0</v>
      </c>
      <c r="AQ302" s="27" t="s">
        <v>7</v>
      </c>
      <c r="AV302" s="32">
        <f>AW302+AX302</f>
        <v>0</v>
      </c>
      <c r="AW302" s="32">
        <f>G302*AO302</f>
        <v>0</v>
      </c>
      <c r="AX302" s="32">
        <f>G302*AP302</f>
        <v>0</v>
      </c>
      <c r="AY302" s="33" t="s">
        <v>667</v>
      </c>
      <c r="AZ302" s="33" t="s">
        <v>680</v>
      </c>
      <c r="BA302" s="28" t="s">
        <v>681</v>
      </c>
      <c r="BC302" s="32">
        <f>AW302+AX302</f>
        <v>0</v>
      </c>
      <c r="BD302" s="32">
        <f>H302/(100-BE302)*100</f>
        <v>0</v>
      </c>
      <c r="BE302" s="32">
        <v>0</v>
      </c>
      <c r="BF302" s="32">
        <f>300</f>
        <v>300</v>
      </c>
      <c r="BH302" s="15">
        <f>G302*AO302</f>
        <v>0</v>
      </c>
      <c r="BI302" s="15">
        <f>G302*AP302</f>
        <v>0</v>
      </c>
      <c r="BJ302" s="15">
        <f>G302*H302</f>
        <v>0</v>
      </c>
    </row>
    <row r="303" spans="1:62" x14ac:dyDescent="0.2">
      <c r="C303" s="58" t="s">
        <v>534</v>
      </c>
      <c r="D303" s="59"/>
      <c r="E303" s="59"/>
      <c r="G303" s="16">
        <v>998</v>
      </c>
    </row>
    <row r="304" spans="1:62" x14ac:dyDescent="0.2">
      <c r="A304" s="4" t="s">
        <v>103</v>
      </c>
      <c r="B304" s="4" t="s">
        <v>239</v>
      </c>
      <c r="C304" s="60" t="s">
        <v>540</v>
      </c>
      <c r="D304" s="61"/>
      <c r="E304" s="61"/>
      <c r="F304" s="4" t="s">
        <v>613</v>
      </c>
      <c r="G304" s="15">
        <v>499</v>
      </c>
      <c r="H304" s="15">
        <v>0</v>
      </c>
      <c r="I304" s="15">
        <f>G304*AO304</f>
        <v>0</v>
      </c>
      <c r="J304" s="15">
        <f>G304*AP304</f>
        <v>0</v>
      </c>
      <c r="K304" s="15">
        <f>G304*H304</f>
        <v>0</v>
      </c>
      <c r="L304" s="27" t="s">
        <v>636</v>
      </c>
      <c r="Z304" s="32">
        <f>IF(AQ304="5",BJ304,0)</f>
        <v>0</v>
      </c>
      <c r="AB304" s="32">
        <f>IF(AQ304="1",BH304,0)</f>
        <v>0</v>
      </c>
      <c r="AC304" s="32">
        <f>IF(AQ304="1",BI304,0)</f>
        <v>0</v>
      </c>
      <c r="AD304" s="32">
        <f>IF(AQ304="7",BH304,0)</f>
        <v>0</v>
      </c>
      <c r="AE304" s="32">
        <f>IF(AQ304="7",BI304,0)</f>
        <v>0</v>
      </c>
      <c r="AF304" s="32">
        <f>IF(AQ304="2",BH304,0)</f>
        <v>0</v>
      </c>
      <c r="AG304" s="32">
        <f>IF(AQ304="2",BI304,0)</f>
        <v>0</v>
      </c>
      <c r="AH304" s="32">
        <f>IF(AQ304="0",BJ304,0)</f>
        <v>0</v>
      </c>
      <c r="AI304" s="28"/>
      <c r="AJ304" s="15">
        <f>IF(AN304=0,K304,0)</f>
        <v>0</v>
      </c>
      <c r="AK304" s="15">
        <f>IF(AN304=15,K304,0)</f>
        <v>0</v>
      </c>
      <c r="AL304" s="15">
        <f>IF(AN304=21,K304,0)</f>
        <v>0</v>
      </c>
      <c r="AN304" s="32">
        <v>21</v>
      </c>
      <c r="AO304" s="32">
        <f>H304*0</f>
        <v>0</v>
      </c>
      <c r="AP304" s="32">
        <f>H304*(1-0)</f>
        <v>0</v>
      </c>
      <c r="AQ304" s="27" t="s">
        <v>7</v>
      </c>
      <c r="AV304" s="32">
        <f>AW304+AX304</f>
        <v>0</v>
      </c>
      <c r="AW304" s="32">
        <f>G304*AO304</f>
        <v>0</v>
      </c>
      <c r="AX304" s="32">
        <f>G304*AP304</f>
        <v>0</v>
      </c>
      <c r="AY304" s="33" t="s">
        <v>667</v>
      </c>
      <c r="AZ304" s="33" t="s">
        <v>680</v>
      </c>
      <c r="BA304" s="28" t="s">
        <v>681</v>
      </c>
      <c r="BC304" s="32">
        <f>AW304+AX304</f>
        <v>0</v>
      </c>
      <c r="BD304" s="32">
        <f>H304/(100-BE304)*100</f>
        <v>0</v>
      </c>
      <c r="BE304" s="32">
        <v>0</v>
      </c>
      <c r="BF304" s="32">
        <f>302</f>
        <v>302</v>
      </c>
      <c r="BH304" s="15">
        <f>G304*AO304</f>
        <v>0</v>
      </c>
      <c r="BI304" s="15">
        <f>G304*AP304</f>
        <v>0</v>
      </c>
      <c r="BJ304" s="15">
        <f>G304*H304</f>
        <v>0</v>
      </c>
    </row>
    <row r="305" spans="1:62" x14ac:dyDescent="0.2">
      <c r="C305" s="58" t="s">
        <v>536</v>
      </c>
      <c r="D305" s="59"/>
      <c r="E305" s="59"/>
      <c r="G305" s="16">
        <v>499</v>
      </c>
    </row>
    <row r="306" spans="1:62" x14ac:dyDescent="0.2">
      <c r="A306" s="4" t="s">
        <v>104</v>
      </c>
      <c r="B306" s="4" t="s">
        <v>240</v>
      </c>
      <c r="C306" s="60" t="s">
        <v>541</v>
      </c>
      <c r="D306" s="61"/>
      <c r="E306" s="61"/>
      <c r="F306" s="4" t="s">
        <v>618</v>
      </c>
      <c r="G306" s="15">
        <v>10.16962</v>
      </c>
      <c r="H306" s="15">
        <v>0</v>
      </c>
      <c r="I306" s="15">
        <f>G306*AO306</f>
        <v>0</v>
      </c>
      <c r="J306" s="15">
        <f>G306*AP306</f>
        <v>0</v>
      </c>
      <c r="K306" s="15">
        <f>G306*H306</f>
        <v>0</v>
      </c>
      <c r="L306" s="27" t="s">
        <v>636</v>
      </c>
      <c r="Z306" s="32">
        <f>IF(AQ306="5",BJ306,0)</f>
        <v>0</v>
      </c>
      <c r="AB306" s="32">
        <f>IF(AQ306="1",BH306,0)</f>
        <v>0</v>
      </c>
      <c r="AC306" s="32">
        <f>IF(AQ306="1",BI306,0)</f>
        <v>0</v>
      </c>
      <c r="AD306" s="32">
        <f>IF(AQ306="7",BH306,0)</f>
        <v>0</v>
      </c>
      <c r="AE306" s="32">
        <f>IF(AQ306="7",BI306,0)</f>
        <v>0</v>
      </c>
      <c r="AF306" s="32">
        <f>IF(AQ306="2",BH306,0)</f>
        <v>0</v>
      </c>
      <c r="AG306" s="32">
        <f>IF(AQ306="2",BI306,0)</f>
        <v>0</v>
      </c>
      <c r="AH306" s="32">
        <f>IF(AQ306="0",BJ306,0)</f>
        <v>0</v>
      </c>
      <c r="AI306" s="28"/>
      <c r="AJ306" s="15">
        <f>IF(AN306=0,K306,0)</f>
        <v>0</v>
      </c>
      <c r="AK306" s="15">
        <f>IF(AN306=15,K306,0)</f>
        <v>0</v>
      </c>
      <c r="AL306" s="15">
        <f>IF(AN306=21,K306,0)</f>
        <v>0</v>
      </c>
      <c r="AN306" s="32">
        <v>21</v>
      </c>
      <c r="AO306" s="32">
        <f>H306*0</f>
        <v>0</v>
      </c>
      <c r="AP306" s="32">
        <f>H306*(1-0)</f>
        <v>0</v>
      </c>
      <c r="AQ306" s="27" t="s">
        <v>11</v>
      </c>
      <c r="AV306" s="32">
        <f>AW306+AX306</f>
        <v>0</v>
      </c>
      <c r="AW306" s="32">
        <f>G306*AO306</f>
        <v>0</v>
      </c>
      <c r="AX306" s="32">
        <f>G306*AP306</f>
        <v>0</v>
      </c>
      <c r="AY306" s="33" t="s">
        <v>667</v>
      </c>
      <c r="AZ306" s="33" t="s">
        <v>680</v>
      </c>
      <c r="BA306" s="28" t="s">
        <v>681</v>
      </c>
      <c r="BC306" s="32">
        <f>AW306+AX306</f>
        <v>0</v>
      </c>
      <c r="BD306" s="32">
        <f>H306/(100-BE306)*100</f>
        <v>0</v>
      </c>
      <c r="BE306" s="32">
        <v>0</v>
      </c>
      <c r="BF306" s="32">
        <f>304</f>
        <v>304</v>
      </c>
      <c r="BH306" s="15">
        <f>G306*AO306</f>
        <v>0</v>
      </c>
      <c r="BI306" s="15">
        <f>G306*AP306</f>
        <v>0</v>
      </c>
      <c r="BJ306" s="15">
        <f>G306*H306</f>
        <v>0</v>
      </c>
    </row>
    <row r="307" spans="1:62" x14ac:dyDescent="0.2">
      <c r="C307" s="58" t="s">
        <v>542</v>
      </c>
      <c r="D307" s="59"/>
      <c r="E307" s="59"/>
      <c r="G307" s="16">
        <v>10.16962</v>
      </c>
    </row>
    <row r="308" spans="1:62" x14ac:dyDescent="0.2">
      <c r="A308" s="5"/>
      <c r="B308" s="13" t="s">
        <v>101</v>
      </c>
      <c r="C308" s="66" t="s">
        <v>543</v>
      </c>
      <c r="D308" s="67"/>
      <c r="E308" s="67"/>
      <c r="F308" s="5" t="s">
        <v>6</v>
      </c>
      <c r="G308" s="5" t="s">
        <v>6</v>
      </c>
      <c r="H308" s="5" t="s">
        <v>6</v>
      </c>
      <c r="I308" s="35">
        <f>SUM(I309:I320)</f>
        <v>0</v>
      </c>
      <c r="J308" s="35">
        <f>SUM(J309:J320)</f>
        <v>0</v>
      </c>
      <c r="K308" s="35">
        <f>SUM(K309:K320)</f>
        <v>0</v>
      </c>
      <c r="L308" s="28"/>
      <c r="AI308" s="28"/>
      <c r="AS308" s="35">
        <f>SUM(AJ309:AJ320)</f>
        <v>0</v>
      </c>
      <c r="AT308" s="35">
        <f>SUM(AK309:AK320)</f>
        <v>0</v>
      </c>
      <c r="AU308" s="35">
        <f>SUM(AL309:AL320)</f>
        <v>0</v>
      </c>
    </row>
    <row r="309" spans="1:62" x14ac:dyDescent="0.2">
      <c r="A309" s="4" t="s">
        <v>105</v>
      </c>
      <c r="B309" s="4" t="s">
        <v>241</v>
      </c>
      <c r="C309" s="60" t="s">
        <v>544</v>
      </c>
      <c r="D309" s="61"/>
      <c r="E309" s="61"/>
      <c r="F309" s="4" t="s">
        <v>613</v>
      </c>
      <c r="G309" s="15">
        <v>803</v>
      </c>
      <c r="H309" s="15">
        <v>0</v>
      </c>
      <c r="I309" s="15">
        <f>G309*AO309</f>
        <v>0</v>
      </c>
      <c r="J309" s="15">
        <f>G309*AP309</f>
        <v>0</v>
      </c>
      <c r="K309" s="15">
        <f>G309*H309</f>
        <v>0</v>
      </c>
      <c r="L309" s="27" t="s">
        <v>636</v>
      </c>
      <c r="Z309" s="32">
        <f>IF(AQ309="5",BJ309,0)</f>
        <v>0</v>
      </c>
      <c r="AB309" s="32">
        <f>IF(AQ309="1",BH309,0)</f>
        <v>0</v>
      </c>
      <c r="AC309" s="32">
        <f>IF(AQ309="1",BI309,0)</f>
        <v>0</v>
      </c>
      <c r="AD309" s="32">
        <f>IF(AQ309="7",BH309,0)</f>
        <v>0</v>
      </c>
      <c r="AE309" s="32">
        <f>IF(AQ309="7",BI309,0)</f>
        <v>0</v>
      </c>
      <c r="AF309" s="32">
        <f>IF(AQ309="2",BH309,0)</f>
        <v>0</v>
      </c>
      <c r="AG309" s="32">
        <f>IF(AQ309="2",BI309,0)</f>
        <v>0</v>
      </c>
      <c r="AH309" s="32">
        <f>IF(AQ309="0",BJ309,0)</f>
        <v>0</v>
      </c>
      <c r="AI309" s="28"/>
      <c r="AJ309" s="15">
        <f>IF(AN309=0,K309,0)</f>
        <v>0</v>
      </c>
      <c r="AK309" s="15">
        <f>IF(AN309=15,K309,0)</f>
        <v>0</v>
      </c>
      <c r="AL309" s="15">
        <f>IF(AN309=21,K309,0)</f>
        <v>0</v>
      </c>
      <c r="AN309" s="32">
        <v>21</v>
      </c>
      <c r="AO309" s="32">
        <f>H309*0.00155369974752379</f>
        <v>0</v>
      </c>
      <c r="AP309" s="32">
        <f>H309*(1-0.00155369974752379)</f>
        <v>0</v>
      </c>
      <c r="AQ309" s="27" t="s">
        <v>7</v>
      </c>
      <c r="AV309" s="32">
        <f>AW309+AX309</f>
        <v>0</v>
      </c>
      <c r="AW309" s="32">
        <f>G309*AO309</f>
        <v>0</v>
      </c>
      <c r="AX309" s="32">
        <f>G309*AP309</f>
        <v>0</v>
      </c>
      <c r="AY309" s="33" t="s">
        <v>668</v>
      </c>
      <c r="AZ309" s="33" t="s">
        <v>680</v>
      </c>
      <c r="BA309" s="28" t="s">
        <v>681</v>
      </c>
      <c r="BC309" s="32">
        <f>AW309+AX309</f>
        <v>0</v>
      </c>
      <c r="BD309" s="32">
        <f>H309/(100-BE309)*100</f>
        <v>0</v>
      </c>
      <c r="BE309" s="32">
        <v>0</v>
      </c>
      <c r="BF309" s="32">
        <f>307</f>
        <v>307</v>
      </c>
      <c r="BH309" s="15">
        <f>G309*AO309</f>
        <v>0</v>
      </c>
      <c r="BI309" s="15">
        <f>G309*AP309</f>
        <v>0</v>
      </c>
      <c r="BJ309" s="15">
        <f>G309*H309</f>
        <v>0</v>
      </c>
    </row>
    <row r="310" spans="1:62" x14ac:dyDescent="0.2">
      <c r="C310" s="58" t="s">
        <v>545</v>
      </c>
      <c r="D310" s="59"/>
      <c r="E310" s="59"/>
      <c r="G310" s="16">
        <v>803</v>
      </c>
    </row>
    <row r="311" spans="1:62" x14ac:dyDescent="0.2">
      <c r="A311" s="4" t="s">
        <v>106</v>
      </c>
      <c r="B311" s="4" t="s">
        <v>242</v>
      </c>
      <c r="C311" s="60" t="s">
        <v>546</v>
      </c>
      <c r="D311" s="61"/>
      <c r="E311" s="61"/>
      <c r="F311" s="4" t="s">
        <v>613</v>
      </c>
      <c r="G311" s="15">
        <v>118.64</v>
      </c>
      <c r="H311" s="15">
        <v>0</v>
      </c>
      <c r="I311" s="15">
        <f>G311*AO311</f>
        <v>0</v>
      </c>
      <c r="J311" s="15">
        <f>G311*AP311</f>
        <v>0</v>
      </c>
      <c r="K311" s="15">
        <f>G311*H311</f>
        <v>0</v>
      </c>
      <c r="L311" s="27" t="s">
        <v>636</v>
      </c>
      <c r="Z311" s="32">
        <f>IF(AQ311="5",BJ311,0)</f>
        <v>0</v>
      </c>
      <c r="AB311" s="32">
        <f>IF(AQ311="1",BH311,0)</f>
        <v>0</v>
      </c>
      <c r="AC311" s="32">
        <f>IF(AQ311="1",BI311,0)</f>
        <v>0</v>
      </c>
      <c r="AD311" s="32">
        <f>IF(AQ311="7",BH311,0)</f>
        <v>0</v>
      </c>
      <c r="AE311" s="32">
        <f>IF(AQ311="7",BI311,0)</f>
        <v>0</v>
      </c>
      <c r="AF311" s="32">
        <f>IF(AQ311="2",BH311,0)</f>
        <v>0</v>
      </c>
      <c r="AG311" s="32">
        <f>IF(AQ311="2",BI311,0)</f>
        <v>0</v>
      </c>
      <c r="AH311" s="32">
        <f>IF(AQ311="0",BJ311,0)</f>
        <v>0</v>
      </c>
      <c r="AI311" s="28"/>
      <c r="AJ311" s="15">
        <f>IF(AN311=0,K311,0)</f>
        <v>0</v>
      </c>
      <c r="AK311" s="15">
        <f>IF(AN311=15,K311,0)</f>
        <v>0</v>
      </c>
      <c r="AL311" s="15">
        <f>IF(AN311=21,K311,0)</f>
        <v>0</v>
      </c>
      <c r="AN311" s="32">
        <v>21</v>
      </c>
      <c r="AO311" s="32">
        <f>H311*0.0197556143802294</f>
        <v>0</v>
      </c>
      <c r="AP311" s="32">
        <f>H311*(1-0.0197556143802294)</f>
        <v>0</v>
      </c>
      <c r="AQ311" s="27" t="s">
        <v>7</v>
      </c>
      <c r="AV311" s="32">
        <f>AW311+AX311</f>
        <v>0</v>
      </c>
      <c r="AW311" s="32">
        <f>G311*AO311</f>
        <v>0</v>
      </c>
      <c r="AX311" s="32">
        <f>G311*AP311</f>
        <v>0</v>
      </c>
      <c r="AY311" s="33" t="s">
        <v>668</v>
      </c>
      <c r="AZ311" s="33" t="s">
        <v>680</v>
      </c>
      <c r="BA311" s="28" t="s">
        <v>681</v>
      </c>
      <c r="BC311" s="32">
        <f>AW311+AX311</f>
        <v>0</v>
      </c>
      <c r="BD311" s="32">
        <f>H311/(100-BE311)*100</f>
        <v>0</v>
      </c>
      <c r="BE311" s="32">
        <v>0</v>
      </c>
      <c r="BF311" s="32">
        <f>309</f>
        <v>309</v>
      </c>
      <c r="BH311" s="15">
        <f>G311*AO311</f>
        <v>0</v>
      </c>
      <c r="BI311" s="15">
        <f>G311*AP311</f>
        <v>0</v>
      </c>
      <c r="BJ311" s="15">
        <f>G311*H311</f>
        <v>0</v>
      </c>
    </row>
    <row r="312" spans="1:62" x14ac:dyDescent="0.2">
      <c r="C312" s="58" t="s">
        <v>547</v>
      </c>
      <c r="D312" s="59"/>
      <c r="E312" s="59"/>
      <c r="G312" s="16">
        <v>118.64</v>
      </c>
    </row>
    <row r="313" spans="1:62" x14ac:dyDescent="0.2">
      <c r="A313" s="4" t="s">
        <v>107</v>
      </c>
      <c r="B313" s="4" t="s">
        <v>242</v>
      </c>
      <c r="C313" s="60" t="s">
        <v>548</v>
      </c>
      <c r="D313" s="61"/>
      <c r="E313" s="61"/>
      <c r="F313" s="4" t="s">
        <v>613</v>
      </c>
      <c r="G313" s="15">
        <v>118.64</v>
      </c>
      <c r="H313" s="15">
        <v>0</v>
      </c>
      <c r="I313" s="15">
        <f>G313*AO313</f>
        <v>0</v>
      </c>
      <c r="J313" s="15">
        <f>G313*AP313</f>
        <v>0</v>
      </c>
      <c r="K313" s="15">
        <f>G313*H313</f>
        <v>0</v>
      </c>
      <c r="L313" s="27" t="s">
        <v>636</v>
      </c>
      <c r="Z313" s="32">
        <f>IF(AQ313="5",BJ313,0)</f>
        <v>0</v>
      </c>
      <c r="AB313" s="32">
        <f>IF(AQ313="1",BH313,0)</f>
        <v>0</v>
      </c>
      <c r="AC313" s="32">
        <f>IF(AQ313="1",BI313,0)</f>
        <v>0</v>
      </c>
      <c r="AD313" s="32">
        <f>IF(AQ313="7",BH313,0)</f>
        <v>0</v>
      </c>
      <c r="AE313" s="32">
        <f>IF(AQ313="7",BI313,0)</f>
        <v>0</v>
      </c>
      <c r="AF313" s="32">
        <f>IF(AQ313="2",BH313,0)</f>
        <v>0</v>
      </c>
      <c r="AG313" s="32">
        <f>IF(AQ313="2",BI313,0)</f>
        <v>0</v>
      </c>
      <c r="AH313" s="32">
        <f>IF(AQ313="0",BJ313,0)</f>
        <v>0</v>
      </c>
      <c r="AI313" s="28"/>
      <c r="AJ313" s="15">
        <f>IF(AN313=0,K313,0)</f>
        <v>0</v>
      </c>
      <c r="AK313" s="15">
        <f>IF(AN313=15,K313,0)</f>
        <v>0</v>
      </c>
      <c r="AL313" s="15">
        <f>IF(AN313=21,K313,0)</f>
        <v>0</v>
      </c>
      <c r="AN313" s="32">
        <v>21</v>
      </c>
      <c r="AO313" s="32">
        <f>H313*0.0197556143802294</f>
        <v>0</v>
      </c>
      <c r="AP313" s="32">
        <f>H313*(1-0.0197556143802294)</f>
        <v>0</v>
      </c>
      <c r="AQ313" s="27" t="s">
        <v>7</v>
      </c>
      <c r="AV313" s="32">
        <f>AW313+AX313</f>
        <v>0</v>
      </c>
      <c r="AW313" s="32">
        <f>G313*AO313</f>
        <v>0</v>
      </c>
      <c r="AX313" s="32">
        <f>G313*AP313</f>
        <v>0</v>
      </c>
      <c r="AY313" s="33" t="s">
        <v>668</v>
      </c>
      <c r="AZ313" s="33" t="s">
        <v>680</v>
      </c>
      <c r="BA313" s="28" t="s">
        <v>681</v>
      </c>
      <c r="BC313" s="32">
        <f>AW313+AX313</f>
        <v>0</v>
      </c>
      <c r="BD313" s="32">
        <f>H313/(100-BE313)*100</f>
        <v>0</v>
      </c>
      <c r="BE313" s="32">
        <v>0</v>
      </c>
      <c r="BF313" s="32">
        <f>311</f>
        <v>311</v>
      </c>
      <c r="BH313" s="15">
        <f>G313*AO313</f>
        <v>0</v>
      </c>
      <c r="BI313" s="15">
        <f>G313*AP313</f>
        <v>0</v>
      </c>
      <c r="BJ313" s="15">
        <f>G313*H313</f>
        <v>0</v>
      </c>
    </row>
    <row r="314" spans="1:62" x14ac:dyDescent="0.2">
      <c r="C314" s="58" t="s">
        <v>549</v>
      </c>
      <c r="D314" s="59"/>
      <c r="E314" s="59"/>
      <c r="G314" s="16">
        <v>118.64</v>
      </c>
    </row>
    <row r="315" spans="1:62" x14ac:dyDescent="0.2">
      <c r="A315" s="4" t="s">
        <v>108</v>
      </c>
      <c r="B315" s="4" t="s">
        <v>243</v>
      </c>
      <c r="C315" s="60" t="s">
        <v>550</v>
      </c>
      <c r="D315" s="61"/>
      <c r="E315" s="61"/>
      <c r="F315" s="4" t="s">
        <v>613</v>
      </c>
      <c r="G315" s="15">
        <v>689.6</v>
      </c>
      <c r="H315" s="15">
        <v>0</v>
      </c>
      <c r="I315" s="15">
        <f>G315*AO315</f>
        <v>0</v>
      </c>
      <c r="J315" s="15">
        <f>G315*AP315</f>
        <v>0</v>
      </c>
      <c r="K315" s="15">
        <f>G315*H315</f>
        <v>0</v>
      </c>
      <c r="L315" s="27"/>
      <c r="Z315" s="32">
        <f>IF(AQ315="5",BJ315,0)</f>
        <v>0</v>
      </c>
      <c r="AB315" s="32">
        <f>IF(AQ315="1",BH315,0)</f>
        <v>0</v>
      </c>
      <c r="AC315" s="32">
        <f>IF(AQ315="1",BI315,0)</f>
        <v>0</v>
      </c>
      <c r="AD315" s="32">
        <f>IF(AQ315="7",BH315,0)</f>
        <v>0</v>
      </c>
      <c r="AE315" s="32">
        <f>IF(AQ315="7",BI315,0)</f>
        <v>0</v>
      </c>
      <c r="AF315" s="32">
        <f>IF(AQ315="2",BH315,0)</f>
        <v>0</v>
      </c>
      <c r="AG315" s="32">
        <f>IF(AQ315="2",BI315,0)</f>
        <v>0</v>
      </c>
      <c r="AH315" s="32">
        <f>IF(AQ315="0",BJ315,0)</f>
        <v>0</v>
      </c>
      <c r="AI315" s="28"/>
      <c r="AJ315" s="15">
        <f>IF(AN315=0,K315,0)</f>
        <v>0</v>
      </c>
      <c r="AK315" s="15">
        <f>IF(AN315=15,K315,0)</f>
        <v>0</v>
      </c>
      <c r="AL315" s="15">
        <f>IF(AN315=21,K315,0)</f>
        <v>0</v>
      </c>
      <c r="AN315" s="32">
        <v>21</v>
      </c>
      <c r="AO315" s="32">
        <f>H315*0</f>
        <v>0</v>
      </c>
      <c r="AP315" s="32">
        <f>H315*(1-0)</f>
        <v>0</v>
      </c>
      <c r="AQ315" s="27" t="s">
        <v>7</v>
      </c>
      <c r="AV315" s="32">
        <f>AW315+AX315</f>
        <v>0</v>
      </c>
      <c r="AW315" s="32">
        <f>G315*AO315</f>
        <v>0</v>
      </c>
      <c r="AX315" s="32">
        <f>G315*AP315</f>
        <v>0</v>
      </c>
      <c r="AY315" s="33" t="s">
        <v>668</v>
      </c>
      <c r="AZ315" s="33" t="s">
        <v>680</v>
      </c>
      <c r="BA315" s="28" t="s">
        <v>681</v>
      </c>
      <c r="BC315" s="32">
        <f>AW315+AX315</f>
        <v>0</v>
      </c>
      <c r="BD315" s="32">
        <f>H315/(100-BE315)*100</f>
        <v>0</v>
      </c>
      <c r="BE315" s="32">
        <v>0</v>
      </c>
      <c r="BF315" s="32">
        <f>313</f>
        <v>313</v>
      </c>
      <c r="BH315" s="15">
        <f>G315*AO315</f>
        <v>0</v>
      </c>
      <c r="BI315" s="15">
        <f>G315*AP315</f>
        <v>0</v>
      </c>
      <c r="BJ315" s="15">
        <f>G315*H315</f>
        <v>0</v>
      </c>
    </row>
    <row r="316" spans="1:62" x14ac:dyDescent="0.2">
      <c r="C316" s="58" t="s">
        <v>551</v>
      </c>
      <c r="D316" s="59"/>
      <c r="E316" s="59"/>
      <c r="G316" s="16">
        <v>230.8</v>
      </c>
    </row>
    <row r="317" spans="1:62" x14ac:dyDescent="0.2">
      <c r="C317" s="58" t="s">
        <v>552</v>
      </c>
      <c r="D317" s="59"/>
      <c r="E317" s="59"/>
      <c r="G317" s="16">
        <v>358.45</v>
      </c>
    </row>
    <row r="318" spans="1:62" x14ac:dyDescent="0.2">
      <c r="C318" s="58" t="s">
        <v>553</v>
      </c>
      <c r="D318" s="59"/>
      <c r="E318" s="59"/>
      <c r="G318" s="16">
        <v>100.35</v>
      </c>
    </row>
    <row r="319" spans="1:62" x14ac:dyDescent="0.2">
      <c r="C319" s="58" t="s">
        <v>554</v>
      </c>
      <c r="D319" s="59"/>
      <c r="E319" s="59"/>
      <c r="G319" s="16">
        <v>0</v>
      </c>
    </row>
    <row r="320" spans="1:62" x14ac:dyDescent="0.2">
      <c r="A320" s="4" t="s">
        <v>109</v>
      </c>
      <c r="B320" s="4" t="s">
        <v>244</v>
      </c>
      <c r="C320" s="60" t="s">
        <v>555</v>
      </c>
      <c r="D320" s="61"/>
      <c r="E320" s="61"/>
      <c r="F320" s="4" t="s">
        <v>613</v>
      </c>
      <c r="G320" s="15">
        <v>689.6</v>
      </c>
      <c r="H320" s="15">
        <v>0</v>
      </c>
      <c r="I320" s="15">
        <f>G320*AO320</f>
        <v>0</v>
      </c>
      <c r="J320" s="15">
        <f>G320*AP320</f>
        <v>0</v>
      </c>
      <c r="K320" s="15">
        <f>G320*H320</f>
        <v>0</v>
      </c>
      <c r="L320" s="27" t="s">
        <v>636</v>
      </c>
      <c r="Z320" s="32">
        <f>IF(AQ320="5",BJ320,0)</f>
        <v>0</v>
      </c>
      <c r="AB320" s="32">
        <f>IF(AQ320="1",BH320,0)</f>
        <v>0</v>
      </c>
      <c r="AC320" s="32">
        <f>IF(AQ320="1",BI320,0)</f>
        <v>0</v>
      </c>
      <c r="AD320" s="32">
        <f>IF(AQ320="7",BH320,0)</f>
        <v>0</v>
      </c>
      <c r="AE320" s="32">
        <f>IF(AQ320="7",BI320,0)</f>
        <v>0</v>
      </c>
      <c r="AF320" s="32">
        <f>IF(AQ320="2",BH320,0)</f>
        <v>0</v>
      </c>
      <c r="AG320" s="32">
        <f>IF(AQ320="2",BI320,0)</f>
        <v>0</v>
      </c>
      <c r="AH320" s="32">
        <f>IF(AQ320="0",BJ320,0)</f>
        <v>0</v>
      </c>
      <c r="AI320" s="28"/>
      <c r="AJ320" s="15">
        <f>IF(AN320=0,K320,0)</f>
        <v>0</v>
      </c>
      <c r="AK320" s="15">
        <f>IF(AN320=15,K320,0)</f>
        <v>0</v>
      </c>
      <c r="AL320" s="15">
        <f>IF(AN320=21,K320,0)</f>
        <v>0</v>
      </c>
      <c r="AN320" s="32">
        <v>21</v>
      </c>
      <c r="AO320" s="32">
        <f>H320*0</f>
        <v>0</v>
      </c>
      <c r="AP320" s="32">
        <f>H320*(1-0)</f>
        <v>0</v>
      </c>
      <c r="AQ320" s="27" t="s">
        <v>7</v>
      </c>
      <c r="AV320" s="32">
        <f>AW320+AX320</f>
        <v>0</v>
      </c>
      <c r="AW320" s="32">
        <f>G320*AO320</f>
        <v>0</v>
      </c>
      <c r="AX320" s="32">
        <f>G320*AP320</f>
        <v>0</v>
      </c>
      <c r="AY320" s="33" t="s">
        <v>668</v>
      </c>
      <c r="AZ320" s="33" t="s">
        <v>680</v>
      </c>
      <c r="BA320" s="28" t="s">
        <v>681</v>
      </c>
      <c r="BC320" s="32">
        <f>AW320+AX320</f>
        <v>0</v>
      </c>
      <c r="BD320" s="32">
        <f>H320/(100-BE320)*100</f>
        <v>0</v>
      </c>
      <c r="BE320" s="32">
        <v>0</v>
      </c>
      <c r="BF320" s="32">
        <f>318</f>
        <v>318</v>
      </c>
      <c r="BH320" s="15">
        <f>G320*AO320</f>
        <v>0</v>
      </c>
      <c r="BI320" s="15">
        <f>G320*AP320</f>
        <v>0</v>
      </c>
      <c r="BJ320" s="15">
        <f>G320*H320</f>
        <v>0</v>
      </c>
    </row>
    <row r="321" spans="1:62" x14ac:dyDescent="0.2">
      <c r="C321" s="58" t="s">
        <v>556</v>
      </c>
      <c r="D321" s="59"/>
      <c r="E321" s="59"/>
      <c r="G321" s="16">
        <v>689.6</v>
      </c>
    </row>
    <row r="322" spans="1:62" x14ac:dyDescent="0.2">
      <c r="A322" s="5"/>
      <c r="B322" s="13" t="s">
        <v>102</v>
      </c>
      <c r="C322" s="66" t="s">
        <v>557</v>
      </c>
      <c r="D322" s="67"/>
      <c r="E322" s="67"/>
      <c r="F322" s="5" t="s">
        <v>6</v>
      </c>
      <c r="G322" s="5" t="s">
        <v>6</v>
      </c>
      <c r="H322" s="5" t="s">
        <v>6</v>
      </c>
      <c r="I322" s="35">
        <f>SUM(I323:I346)</f>
        <v>0</v>
      </c>
      <c r="J322" s="35">
        <f>SUM(J323:J346)</f>
        <v>0</v>
      </c>
      <c r="K322" s="35">
        <f>SUM(K323:K346)</f>
        <v>0</v>
      </c>
      <c r="L322" s="28"/>
      <c r="AI322" s="28"/>
      <c r="AS322" s="35">
        <f>SUM(AJ323:AJ346)</f>
        <v>0</v>
      </c>
      <c r="AT322" s="35">
        <f>SUM(AK323:AK346)</f>
        <v>0</v>
      </c>
      <c r="AU322" s="35">
        <f>SUM(AL323:AL346)</f>
        <v>0</v>
      </c>
    </row>
    <row r="323" spans="1:62" x14ac:dyDescent="0.2">
      <c r="A323" s="4" t="s">
        <v>110</v>
      </c>
      <c r="B323" s="4" t="s">
        <v>245</v>
      </c>
      <c r="C323" s="60" t="s">
        <v>558</v>
      </c>
      <c r="D323" s="61"/>
      <c r="E323" s="61"/>
      <c r="F323" s="4" t="s">
        <v>614</v>
      </c>
      <c r="G323" s="15">
        <v>8.4600000000000009</v>
      </c>
      <c r="H323" s="15">
        <v>0</v>
      </c>
      <c r="I323" s="15">
        <f>G323*AO323</f>
        <v>0</v>
      </c>
      <c r="J323" s="15">
        <f>G323*AP323</f>
        <v>0</v>
      </c>
      <c r="K323" s="15">
        <f>G323*H323</f>
        <v>0</v>
      </c>
      <c r="L323" s="27" t="s">
        <v>636</v>
      </c>
      <c r="Z323" s="32">
        <f>IF(AQ323="5",BJ323,0)</f>
        <v>0</v>
      </c>
      <c r="AB323" s="32">
        <f>IF(AQ323="1",BH323,0)</f>
        <v>0</v>
      </c>
      <c r="AC323" s="32">
        <f>IF(AQ323="1",BI323,0)</f>
        <v>0</v>
      </c>
      <c r="AD323" s="32">
        <f>IF(AQ323="7",BH323,0)</f>
        <v>0</v>
      </c>
      <c r="AE323" s="32">
        <f>IF(AQ323="7",BI323,0)</f>
        <v>0</v>
      </c>
      <c r="AF323" s="32">
        <f>IF(AQ323="2",BH323,0)</f>
        <v>0</v>
      </c>
      <c r="AG323" s="32">
        <f>IF(AQ323="2",BI323,0)</f>
        <v>0</v>
      </c>
      <c r="AH323" s="32">
        <f>IF(AQ323="0",BJ323,0)</f>
        <v>0</v>
      </c>
      <c r="AI323" s="28"/>
      <c r="AJ323" s="15">
        <f>IF(AN323=0,K323,0)</f>
        <v>0</v>
      </c>
      <c r="AK323" s="15">
        <f>IF(AN323=15,K323,0)</f>
        <v>0</v>
      </c>
      <c r="AL323" s="15">
        <f>IF(AN323=21,K323,0)</f>
        <v>0</v>
      </c>
      <c r="AN323" s="32">
        <v>21</v>
      </c>
      <c r="AO323" s="32">
        <f>H323*0</f>
        <v>0</v>
      </c>
      <c r="AP323" s="32">
        <f>H323*(1-0)</f>
        <v>0</v>
      </c>
      <c r="AQ323" s="27" t="s">
        <v>7</v>
      </c>
      <c r="AV323" s="32">
        <f>AW323+AX323</f>
        <v>0</v>
      </c>
      <c r="AW323" s="32">
        <f>G323*AO323</f>
        <v>0</v>
      </c>
      <c r="AX323" s="32">
        <f>G323*AP323</f>
        <v>0</v>
      </c>
      <c r="AY323" s="33" t="s">
        <v>669</v>
      </c>
      <c r="AZ323" s="33" t="s">
        <v>680</v>
      </c>
      <c r="BA323" s="28" t="s">
        <v>681</v>
      </c>
      <c r="BC323" s="32">
        <f>AW323+AX323</f>
        <v>0</v>
      </c>
      <c r="BD323" s="32">
        <f>H323/(100-BE323)*100</f>
        <v>0</v>
      </c>
      <c r="BE323" s="32">
        <v>0</v>
      </c>
      <c r="BF323" s="32">
        <f>321</f>
        <v>321</v>
      </c>
      <c r="BH323" s="15">
        <f>G323*AO323</f>
        <v>0</v>
      </c>
      <c r="BI323" s="15">
        <f>G323*AP323</f>
        <v>0</v>
      </c>
      <c r="BJ323" s="15">
        <f>G323*H323</f>
        <v>0</v>
      </c>
    </row>
    <row r="324" spans="1:62" x14ac:dyDescent="0.2">
      <c r="C324" s="58" t="s">
        <v>559</v>
      </c>
      <c r="D324" s="59"/>
      <c r="E324" s="59"/>
      <c r="G324" s="16">
        <v>8.4600000000000009</v>
      </c>
    </row>
    <row r="325" spans="1:62" x14ac:dyDescent="0.2">
      <c r="A325" s="4" t="s">
        <v>111</v>
      </c>
      <c r="B325" s="4" t="s">
        <v>246</v>
      </c>
      <c r="C325" s="60" t="s">
        <v>560</v>
      </c>
      <c r="D325" s="61"/>
      <c r="E325" s="61"/>
      <c r="F325" s="4" t="s">
        <v>617</v>
      </c>
      <c r="G325" s="15">
        <v>39</v>
      </c>
      <c r="H325" s="15">
        <v>0</v>
      </c>
      <c r="I325" s="15">
        <f>G325*AO325</f>
        <v>0</v>
      </c>
      <c r="J325" s="15">
        <f>G325*AP325</f>
        <v>0</v>
      </c>
      <c r="K325" s="15">
        <f>G325*H325</f>
        <v>0</v>
      </c>
      <c r="L325" s="27" t="s">
        <v>636</v>
      </c>
      <c r="Z325" s="32">
        <f>IF(AQ325="5",BJ325,0)</f>
        <v>0</v>
      </c>
      <c r="AB325" s="32">
        <f>IF(AQ325="1",BH325,0)</f>
        <v>0</v>
      </c>
      <c r="AC325" s="32">
        <f>IF(AQ325="1",BI325,0)</f>
        <v>0</v>
      </c>
      <c r="AD325" s="32">
        <f>IF(AQ325="7",BH325,0)</f>
        <v>0</v>
      </c>
      <c r="AE325" s="32">
        <f>IF(AQ325="7",BI325,0)</f>
        <v>0</v>
      </c>
      <c r="AF325" s="32">
        <f>IF(AQ325="2",BH325,0)</f>
        <v>0</v>
      </c>
      <c r="AG325" s="32">
        <f>IF(AQ325="2",BI325,0)</f>
        <v>0</v>
      </c>
      <c r="AH325" s="32">
        <f>IF(AQ325="0",BJ325,0)</f>
        <v>0</v>
      </c>
      <c r="AI325" s="28"/>
      <c r="AJ325" s="15">
        <f>IF(AN325=0,K325,0)</f>
        <v>0</v>
      </c>
      <c r="AK325" s="15">
        <f>IF(AN325=15,K325,0)</f>
        <v>0</v>
      </c>
      <c r="AL325" s="15">
        <f>IF(AN325=21,K325,0)</f>
        <v>0</v>
      </c>
      <c r="AN325" s="32">
        <v>21</v>
      </c>
      <c r="AO325" s="32">
        <f>H325*0</f>
        <v>0</v>
      </c>
      <c r="AP325" s="32">
        <f>H325*(1-0)</f>
        <v>0</v>
      </c>
      <c r="AQ325" s="27" t="s">
        <v>7</v>
      </c>
      <c r="AV325" s="32">
        <f>AW325+AX325</f>
        <v>0</v>
      </c>
      <c r="AW325" s="32">
        <f>G325*AO325</f>
        <v>0</v>
      </c>
      <c r="AX325" s="32">
        <f>G325*AP325</f>
        <v>0</v>
      </c>
      <c r="AY325" s="33" t="s">
        <v>669</v>
      </c>
      <c r="AZ325" s="33" t="s">
        <v>680</v>
      </c>
      <c r="BA325" s="28" t="s">
        <v>681</v>
      </c>
      <c r="BC325" s="32">
        <f>AW325+AX325</f>
        <v>0</v>
      </c>
      <c r="BD325" s="32">
        <f>H325/(100-BE325)*100</f>
        <v>0</v>
      </c>
      <c r="BE325" s="32">
        <v>0</v>
      </c>
      <c r="BF325" s="32">
        <f>323</f>
        <v>323</v>
      </c>
      <c r="BH325" s="15">
        <f>G325*AO325</f>
        <v>0</v>
      </c>
      <c r="BI325" s="15">
        <f>G325*AP325</f>
        <v>0</v>
      </c>
      <c r="BJ325" s="15">
        <f>G325*H325</f>
        <v>0</v>
      </c>
    </row>
    <row r="326" spans="1:62" x14ac:dyDescent="0.2">
      <c r="C326" s="58" t="s">
        <v>561</v>
      </c>
      <c r="D326" s="59"/>
      <c r="E326" s="59"/>
      <c r="G326" s="16">
        <v>24</v>
      </c>
    </row>
    <row r="327" spans="1:62" x14ac:dyDescent="0.2">
      <c r="C327" s="58" t="s">
        <v>562</v>
      </c>
      <c r="D327" s="59"/>
      <c r="E327" s="59"/>
      <c r="G327" s="16">
        <v>4</v>
      </c>
    </row>
    <row r="328" spans="1:62" x14ac:dyDescent="0.2">
      <c r="C328" s="58" t="s">
        <v>563</v>
      </c>
      <c r="D328" s="59"/>
      <c r="E328" s="59"/>
      <c r="G328" s="16">
        <v>10</v>
      </c>
    </row>
    <row r="329" spans="1:62" x14ac:dyDescent="0.2">
      <c r="C329" s="58" t="s">
        <v>564</v>
      </c>
      <c r="D329" s="59"/>
      <c r="E329" s="59"/>
      <c r="G329" s="16">
        <v>1</v>
      </c>
    </row>
    <row r="330" spans="1:62" x14ac:dyDescent="0.2">
      <c r="A330" s="4" t="s">
        <v>112</v>
      </c>
      <c r="B330" s="4" t="s">
        <v>247</v>
      </c>
      <c r="C330" s="60" t="s">
        <v>565</v>
      </c>
      <c r="D330" s="61"/>
      <c r="E330" s="61"/>
      <c r="F330" s="4" t="s">
        <v>617</v>
      </c>
      <c r="G330" s="15">
        <v>11</v>
      </c>
      <c r="H330" s="15">
        <v>0</v>
      </c>
      <c r="I330" s="15">
        <f>G330*AO330</f>
        <v>0</v>
      </c>
      <c r="J330" s="15">
        <f>G330*AP330</f>
        <v>0</v>
      </c>
      <c r="K330" s="15">
        <f>G330*H330</f>
        <v>0</v>
      </c>
      <c r="L330" s="27" t="s">
        <v>636</v>
      </c>
      <c r="Z330" s="32">
        <f>IF(AQ330="5",BJ330,0)</f>
        <v>0</v>
      </c>
      <c r="AB330" s="32">
        <f>IF(AQ330="1",BH330,0)</f>
        <v>0</v>
      </c>
      <c r="AC330" s="32">
        <f>IF(AQ330="1",BI330,0)</f>
        <v>0</v>
      </c>
      <c r="AD330" s="32">
        <f>IF(AQ330="7",BH330,0)</f>
        <v>0</v>
      </c>
      <c r="AE330" s="32">
        <f>IF(AQ330="7",BI330,0)</f>
        <v>0</v>
      </c>
      <c r="AF330" s="32">
        <f>IF(AQ330="2",BH330,0)</f>
        <v>0</v>
      </c>
      <c r="AG330" s="32">
        <f>IF(AQ330="2",BI330,0)</f>
        <v>0</v>
      </c>
      <c r="AH330" s="32">
        <f>IF(AQ330="0",BJ330,0)</f>
        <v>0</v>
      </c>
      <c r="AI330" s="28"/>
      <c r="AJ330" s="15">
        <f>IF(AN330=0,K330,0)</f>
        <v>0</v>
      </c>
      <c r="AK330" s="15">
        <f>IF(AN330=15,K330,0)</f>
        <v>0</v>
      </c>
      <c r="AL330" s="15">
        <f>IF(AN330=21,K330,0)</f>
        <v>0</v>
      </c>
      <c r="AN330" s="32">
        <v>21</v>
      </c>
      <c r="AO330" s="32">
        <f>H330*0</f>
        <v>0</v>
      </c>
      <c r="AP330" s="32">
        <f>H330*(1-0)</f>
        <v>0</v>
      </c>
      <c r="AQ330" s="27" t="s">
        <v>7</v>
      </c>
      <c r="AV330" s="32">
        <f>AW330+AX330</f>
        <v>0</v>
      </c>
      <c r="AW330" s="32">
        <f>G330*AO330</f>
        <v>0</v>
      </c>
      <c r="AX330" s="32">
        <f>G330*AP330</f>
        <v>0</v>
      </c>
      <c r="AY330" s="33" t="s">
        <v>669</v>
      </c>
      <c r="AZ330" s="33" t="s">
        <v>680</v>
      </c>
      <c r="BA330" s="28" t="s">
        <v>681</v>
      </c>
      <c r="BC330" s="32">
        <f>AW330+AX330</f>
        <v>0</v>
      </c>
      <c r="BD330" s="32">
        <f>H330/(100-BE330)*100</f>
        <v>0</v>
      </c>
      <c r="BE330" s="32">
        <v>0</v>
      </c>
      <c r="BF330" s="32">
        <f>328</f>
        <v>328</v>
      </c>
      <c r="BH330" s="15">
        <f>G330*AO330</f>
        <v>0</v>
      </c>
      <c r="BI330" s="15">
        <f>G330*AP330</f>
        <v>0</v>
      </c>
      <c r="BJ330" s="15">
        <f>G330*H330</f>
        <v>0</v>
      </c>
    </row>
    <row r="331" spans="1:62" x14ac:dyDescent="0.2">
      <c r="C331" s="58" t="s">
        <v>566</v>
      </c>
      <c r="D331" s="59"/>
      <c r="E331" s="59"/>
      <c r="G331" s="16">
        <v>8</v>
      </c>
    </row>
    <row r="332" spans="1:62" x14ac:dyDescent="0.2">
      <c r="C332" s="58" t="s">
        <v>567</v>
      </c>
      <c r="D332" s="59"/>
      <c r="E332" s="59"/>
      <c r="G332" s="16">
        <v>2</v>
      </c>
    </row>
    <row r="333" spans="1:62" x14ac:dyDescent="0.2">
      <c r="C333" s="58" t="s">
        <v>564</v>
      </c>
      <c r="D333" s="59"/>
      <c r="E333" s="59"/>
      <c r="G333" s="16">
        <v>1</v>
      </c>
    </row>
    <row r="334" spans="1:62" x14ac:dyDescent="0.2">
      <c r="A334" s="4" t="s">
        <v>113</v>
      </c>
      <c r="B334" s="4" t="s">
        <v>248</v>
      </c>
      <c r="C334" s="60" t="s">
        <v>568</v>
      </c>
      <c r="D334" s="61"/>
      <c r="E334" s="61"/>
      <c r="F334" s="4" t="s">
        <v>613</v>
      </c>
      <c r="G334" s="15">
        <v>46.08</v>
      </c>
      <c r="H334" s="15">
        <v>0</v>
      </c>
      <c r="I334" s="15">
        <f>G334*AO334</f>
        <v>0</v>
      </c>
      <c r="J334" s="15">
        <f>G334*AP334</f>
        <v>0</v>
      </c>
      <c r="K334" s="15">
        <f>G334*H334</f>
        <v>0</v>
      </c>
      <c r="L334" s="27" t="s">
        <v>636</v>
      </c>
      <c r="Z334" s="32">
        <f>IF(AQ334="5",BJ334,0)</f>
        <v>0</v>
      </c>
      <c r="AB334" s="32">
        <f>IF(AQ334="1",BH334,0)</f>
        <v>0</v>
      </c>
      <c r="AC334" s="32">
        <f>IF(AQ334="1",BI334,0)</f>
        <v>0</v>
      </c>
      <c r="AD334" s="32">
        <f>IF(AQ334="7",BH334,0)</f>
        <v>0</v>
      </c>
      <c r="AE334" s="32">
        <f>IF(AQ334="7",BI334,0)</f>
        <v>0</v>
      </c>
      <c r="AF334" s="32">
        <f>IF(AQ334="2",BH334,0)</f>
        <v>0</v>
      </c>
      <c r="AG334" s="32">
        <f>IF(AQ334="2",BI334,0)</f>
        <v>0</v>
      </c>
      <c r="AH334" s="32">
        <f>IF(AQ334="0",BJ334,0)</f>
        <v>0</v>
      </c>
      <c r="AI334" s="28"/>
      <c r="AJ334" s="15">
        <f>IF(AN334=0,K334,0)</f>
        <v>0</v>
      </c>
      <c r="AK334" s="15">
        <f>IF(AN334=15,K334,0)</f>
        <v>0</v>
      </c>
      <c r="AL334" s="15">
        <f>IF(AN334=21,K334,0)</f>
        <v>0</v>
      </c>
      <c r="AN334" s="32">
        <v>21</v>
      </c>
      <c r="AO334" s="32">
        <f>H334*0.190808080808081</f>
        <v>0</v>
      </c>
      <c r="AP334" s="32">
        <f>H334*(1-0.190808080808081)</f>
        <v>0</v>
      </c>
      <c r="AQ334" s="27" t="s">
        <v>7</v>
      </c>
      <c r="AV334" s="32">
        <f>AW334+AX334</f>
        <v>0</v>
      </c>
      <c r="AW334" s="32">
        <f>G334*AO334</f>
        <v>0</v>
      </c>
      <c r="AX334" s="32">
        <f>G334*AP334</f>
        <v>0</v>
      </c>
      <c r="AY334" s="33" t="s">
        <v>669</v>
      </c>
      <c r="AZ334" s="33" t="s">
        <v>680</v>
      </c>
      <c r="BA334" s="28" t="s">
        <v>681</v>
      </c>
      <c r="BC334" s="32">
        <f>AW334+AX334</f>
        <v>0</v>
      </c>
      <c r="BD334" s="32">
        <f>H334/(100-BE334)*100</f>
        <v>0</v>
      </c>
      <c r="BE334" s="32">
        <v>0</v>
      </c>
      <c r="BF334" s="32">
        <f>332</f>
        <v>332</v>
      </c>
      <c r="BH334" s="15">
        <f>G334*AO334</f>
        <v>0</v>
      </c>
      <c r="BI334" s="15">
        <f>G334*AP334</f>
        <v>0</v>
      </c>
      <c r="BJ334" s="15">
        <f>G334*H334</f>
        <v>0</v>
      </c>
    </row>
    <row r="335" spans="1:62" x14ac:dyDescent="0.2">
      <c r="C335" s="58" t="s">
        <v>569</v>
      </c>
      <c r="D335" s="59"/>
      <c r="E335" s="59"/>
      <c r="G335" s="16">
        <v>46.08</v>
      </c>
    </row>
    <row r="336" spans="1:62" x14ac:dyDescent="0.2">
      <c r="A336" s="4" t="s">
        <v>114</v>
      </c>
      <c r="B336" s="4" t="s">
        <v>249</v>
      </c>
      <c r="C336" s="60" t="s">
        <v>570</v>
      </c>
      <c r="D336" s="61"/>
      <c r="E336" s="61"/>
      <c r="F336" s="4" t="s">
        <v>613</v>
      </c>
      <c r="G336" s="15">
        <v>3.6</v>
      </c>
      <c r="H336" s="15">
        <v>0</v>
      </c>
      <c r="I336" s="15">
        <f>G336*AO336</f>
        <v>0</v>
      </c>
      <c r="J336" s="15">
        <f>G336*AP336</f>
        <v>0</v>
      </c>
      <c r="K336" s="15">
        <f>G336*H336</f>
        <v>0</v>
      </c>
      <c r="L336" s="27" t="s">
        <v>636</v>
      </c>
      <c r="Z336" s="32">
        <f>IF(AQ336="5",BJ336,0)</f>
        <v>0</v>
      </c>
      <c r="AB336" s="32">
        <f>IF(AQ336="1",BH336,0)</f>
        <v>0</v>
      </c>
      <c r="AC336" s="32">
        <f>IF(AQ336="1",BI336,0)</f>
        <v>0</v>
      </c>
      <c r="AD336" s="32">
        <f>IF(AQ336="7",BH336,0)</f>
        <v>0</v>
      </c>
      <c r="AE336" s="32">
        <f>IF(AQ336="7",BI336,0)</f>
        <v>0</v>
      </c>
      <c r="AF336" s="32">
        <f>IF(AQ336="2",BH336,0)</f>
        <v>0</v>
      </c>
      <c r="AG336" s="32">
        <f>IF(AQ336="2",BI336,0)</f>
        <v>0</v>
      </c>
      <c r="AH336" s="32">
        <f>IF(AQ336="0",BJ336,0)</f>
        <v>0</v>
      </c>
      <c r="AI336" s="28"/>
      <c r="AJ336" s="15">
        <f>IF(AN336=0,K336,0)</f>
        <v>0</v>
      </c>
      <c r="AK336" s="15">
        <f>IF(AN336=15,K336,0)</f>
        <v>0</v>
      </c>
      <c r="AL336" s="15">
        <f>IF(AN336=21,K336,0)</f>
        <v>0</v>
      </c>
      <c r="AN336" s="32">
        <v>21</v>
      </c>
      <c r="AO336" s="32">
        <f>H336*0.177731092436975</f>
        <v>0</v>
      </c>
      <c r="AP336" s="32">
        <f>H336*(1-0.177731092436975)</f>
        <v>0</v>
      </c>
      <c r="AQ336" s="27" t="s">
        <v>7</v>
      </c>
      <c r="AV336" s="32">
        <f>AW336+AX336</f>
        <v>0</v>
      </c>
      <c r="AW336" s="32">
        <f>G336*AO336</f>
        <v>0</v>
      </c>
      <c r="AX336" s="32">
        <f>G336*AP336</f>
        <v>0</v>
      </c>
      <c r="AY336" s="33" t="s">
        <v>669</v>
      </c>
      <c r="AZ336" s="33" t="s">
        <v>680</v>
      </c>
      <c r="BA336" s="28" t="s">
        <v>681</v>
      </c>
      <c r="BC336" s="32">
        <f>AW336+AX336</f>
        <v>0</v>
      </c>
      <c r="BD336" s="32">
        <f>H336/(100-BE336)*100</f>
        <v>0</v>
      </c>
      <c r="BE336" s="32">
        <v>0</v>
      </c>
      <c r="BF336" s="32">
        <f>334</f>
        <v>334</v>
      </c>
      <c r="BH336" s="15">
        <f>G336*AO336</f>
        <v>0</v>
      </c>
      <c r="BI336" s="15">
        <f>G336*AP336</f>
        <v>0</v>
      </c>
      <c r="BJ336" s="15">
        <f>G336*H336</f>
        <v>0</v>
      </c>
    </row>
    <row r="337" spans="1:62" x14ac:dyDescent="0.2">
      <c r="C337" s="58" t="s">
        <v>571</v>
      </c>
      <c r="D337" s="59"/>
      <c r="E337" s="59"/>
      <c r="G337" s="16">
        <v>3.6</v>
      </c>
    </row>
    <row r="338" spans="1:62" x14ac:dyDescent="0.2">
      <c r="A338" s="4" t="s">
        <v>115</v>
      </c>
      <c r="B338" s="4" t="s">
        <v>250</v>
      </c>
      <c r="C338" s="60" t="s">
        <v>572</v>
      </c>
      <c r="D338" s="61"/>
      <c r="E338" s="61"/>
      <c r="F338" s="4" t="s">
        <v>617</v>
      </c>
      <c r="G338" s="15">
        <v>2</v>
      </c>
      <c r="H338" s="15">
        <v>0</v>
      </c>
      <c r="I338" s="15">
        <f>G338*AO338</f>
        <v>0</v>
      </c>
      <c r="J338" s="15">
        <f>G338*AP338</f>
        <v>0</v>
      </c>
      <c r="K338" s="15">
        <f>G338*H338</f>
        <v>0</v>
      </c>
      <c r="L338" s="27"/>
      <c r="Z338" s="32">
        <f>IF(AQ338="5",BJ338,0)</f>
        <v>0</v>
      </c>
      <c r="AB338" s="32">
        <f>IF(AQ338="1",BH338,0)</f>
        <v>0</v>
      </c>
      <c r="AC338" s="32">
        <f>IF(AQ338="1",BI338,0)</f>
        <v>0</v>
      </c>
      <c r="AD338" s="32">
        <f>IF(AQ338="7",BH338,0)</f>
        <v>0</v>
      </c>
      <c r="AE338" s="32">
        <f>IF(AQ338="7",BI338,0)</f>
        <v>0</v>
      </c>
      <c r="AF338" s="32">
        <f>IF(AQ338="2",BH338,0)</f>
        <v>0</v>
      </c>
      <c r="AG338" s="32">
        <f>IF(AQ338="2",BI338,0)</f>
        <v>0</v>
      </c>
      <c r="AH338" s="32">
        <f>IF(AQ338="0",BJ338,0)</f>
        <v>0</v>
      </c>
      <c r="AI338" s="28"/>
      <c r="AJ338" s="15">
        <f>IF(AN338=0,K338,0)</f>
        <v>0</v>
      </c>
      <c r="AK338" s="15">
        <f>IF(AN338=15,K338,0)</f>
        <v>0</v>
      </c>
      <c r="AL338" s="15">
        <f>IF(AN338=21,K338,0)</f>
        <v>0</v>
      </c>
      <c r="AN338" s="32">
        <v>21</v>
      </c>
      <c r="AO338" s="32">
        <f>H338*0</f>
        <v>0</v>
      </c>
      <c r="AP338" s="32">
        <f>H338*(1-0)</f>
        <v>0</v>
      </c>
      <c r="AQ338" s="27" t="s">
        <v>7</v>
      </c>
      <c r="AV338" s="32">
        <f>AW338+AX338</f>
        <v>0</v>
      </c>
      <c r="AW338" s="32">
        <f>G338*AO338</f>
        <v>0</v>
      </c>
      <c r="AX338" s="32">
        <f>G338*AP338</f>
        <v>0</v>
      </c>
      <c r="AY338" s="33" t="s">
        <v>669</v>
      </c>
      <c r="AZ338" s="33" t="s">
        <v>680</v>
      </c>
      <c r="BA338" s="28" t="s">
        <v>681</v>
      </c>
      <c r="BC338" s="32">
        <f>AW338+AX338</f>
        <v>0</v>
      </c>
      <c r="BD338" s="32">
        <f>H338/(100-BE338)*100</f>
        <v>0</v>
      </c>
      <c r="BE338" s="32">
        <v>0</v>
      </c>
      <c r="BF338" s="32">
        <f>336</f>
        <v>336</v>
      </c>
      <c r="BH338" s="15">
        <f>G338*AO338</f>
        <v>0</v>
      </c>
      <c r="BI338" s="15">
        <f>G338*AP338</f>
        <v>0</v>
      </c>
      <c r="BJ338" s="15">
        <f>G338*H338</f>
        <v>0</v>
      </c>
    </row>
    <row r="339" spans="1:62" x14ac:dyDescent="0.2">
      <c r="C339" s="58" t="s">
        <v>573</v>
      </c>
      <c r="D339" s="59"/>
      <c r="E339" s="59"/>
      <c r="G339" s="16">
        <v>2</v>
      </c>
    </row>
    <row r="340" spans="1:62" x14ac:dyDescent="0.2">
      <c r="A340" s="4" t="s">
        <v>116</v>
      </c>
      <c r="B340" s="4" t="s">
        <v>251</v>
      </c>
      <c r="C340" s="60" t="s">
        <v>574</v>
      </c>
      <c r="D340" s="61"/>
      <c r="E340" s="61"/>
      <c r="F340" s="4" t="s">
        <v>613</v>
      </c>
      <c r="G340" s="15">
        <v>5.4</v>
      </c>
      <c r="H340" s="15">
        <v>0</v>
      </c>
      <c r="I340" s="15">
        <f>G340*AO340</f>
        <v>0</v>
      </c>
      <c r="J340" s="15">
        <f>G340*AP340</f>
        <v>0</v>
      </c>
      <c r="K340" s="15">
        <f>G340*H340</f>
        <v>0</v>
      </c>
      <c r="L340" s="27" t="s">
        <v>636</v>
      </c>
      <c r="Z340" s="32">
        <f>IF(AQ340="5",BJ340,0)</f>
        <v>0</v>
      </c>
      <c r="AB340" s="32">
        <f>IF(AQ340="1",BH340,0)</f>
        <v>0</v>
      </c>
      <c r="AC340" s="32">
        <f>IF(AQ340="1",BI340,0)</f>
        <v>0</v>
      </c>
      <c r="AD340" s="32">
        <f>IF(AQ340="7",BH340,0)</f>
        <v>0</v>
      </c>
      <c r="AE340" s="32">
        <f>IF(AQ340="7",BI340,0)</f>
        <v>0</v>
      </c>
      <c r="AF340" s="32">
        <f>IF(AQ340="2",BH340,0)</f>
        <v>0</v>
      </c>
      <c r="AG340" s="32">
        <f>IF(AQ340="2",BI340,0)</f>
        <v>0</v>
      </c>
      <c r="AH340" s="32">
        <f>IF(AQ340="0",BJ340,0)</f>
        <v>0</v>
      </c>
      <c r="AI340" s="28"/>
      <c r="AJ340" s="15">
        <f>IF(AN340=0,K340,0)</f>
        <v>0</v>
      </c>
      <c r="AK340" s="15">
        <f>IF(AN340=15,K340,0)</f>
        <v>0</v>
      </c>
      <c r="AL340" s="15">
        <f>IF(AN340=21,K340,0)</f>
        <v>0</v>
      </c>
      <c r="AN340" s="32">
        <v>21</v>
      </c>
      <c r="AO340" s="32">
        <f>H340*0.205795918367347</f>
        <v>0</v>
      </c>
      <c r="AP340" s="32">
        <f>H340*(1-0.205795918367347)</f>
        <v>0</v>
      </c>
      <c r="AQ340" s="27" t="s">
        <v>7</v>
      </c>
      <c r="AV340" s="32">
        <f>AW340+AX340</f>
        <v>0</v>
      </c>
      <c r="AW340" s="32">
        <f>G340*AO340</f>
        <v>0</v>
      </c>
      <c r="AX340" s="32">
        <f>G340*AP340</f>
        <v>0</v>
      </c>
      <c r="AY340" s="33" t="s">
        <v>669</v>
      </c>
      <c r="AZ340" s="33" t="s">
        <v>680</v>
      </c>
      <c r="BA340" s="28" t="s">
        <v>681</v>
      </c>
      <c r="BC340" s="32">
        <f>AW340+AX340</f>
        <v>0</v>
      </c>
      <c r="BD340" s="32">
        <f>H340/(100-BE340)*100</f>
        <v>0</v>
      </c>
      <c r="BE340" s="32">
        <v>0</v>
      </c>
      <c r="BF340" s="32">
        <f>338</f>
        <v>338</v>
      </c>
      <c r="BH340" s="15">
        <f>G340*AO340</f>
        <v>0</v>
      </c>
      <c r="BI340" s="15">
        <f>G340*AP340</f>
        <v>0</v>
      </c>
      <c r="BJ340" s="15">
        <f>G340*H340</f>
        <v>0</v>
      </c>
    </row>
    <row r="341" spans="1:62" x14ac:dyDescent="0.2">
      <c r="C341" s="58" t="s">
        <v>575</v>
      </c>
      <c r="D341" s="59"/>
      <c r="E341" s="59"/>
      <c r="G341" s="16">
        <v>5.4</v>
      </c>
    </row>
    <row r="342" spans="1:62" x14ac:dyDescent="0.2">
      <c r="A342" s="4" t="s">
        <v>117</v>
      </c>
      <c r="B342" s="4" t="s">
        <v>252</v>
      </c>
      <c r="C342" s="60" t="s">
        <v>576</v>
      </c>
      <c r="D342" s="61"/>
      <c r="E342" s="61"/>
      <c r="F342" s="4" t="s">
        <v>613</v>
      </c>
      <c r="G342" s="15">
        <v>5.58</v>
      </c>
      <c r="H342" s="15">
        <v>0</v>
      </c>
      <c r="I342" s="15">
        <f>G342*AO342</f>
        <v>0</v>
      </c>
      <c r="J342" s="15">
        <f>G342*AP342</f>
        <v>0</v>
      </c>
      <c r="K342" s="15">
        <f>G342*H342</f>
        <v>0</v>
      </c>
      <c r="L342" s="27" t="s">
        <v>636</v>
      </c>
      <c r="Z342" s="32">
        <f>IF(AQ342="5",BJ342,0)</f>
        <v>0</v>
      </c>
      <c r="AB342" s="32">
        <f>IF(AQ342="1",BH342,0)</f>
        <v>0</v>
      </c>
      <c r="AC342" s="32">
        <f>IF(AQ342="1",BI342,0)</f>
        <v>0</v>
      </c>
      <c r="AD342" s="32">
        <f>IF(AQ342="7",BH342,0)</f>
        <v>0</v>
      </c>
      <c r="AE342" s="32">
        <f>IF(AQ342="7",BI342,0)</f>
        <v>0</v>
      </c>
      <c r="AF342" s="32">
        <f>IF(AQ342="2",BH342,0)</f>
        <v>0</v>
      </c>
      <c r="AG342" s="32">
        <f>IF(AQ342="2",BI342,0)</f>
        <v>0</v>
      </c>
      <c r="AH342" s="32">
        <f>IF(AQ342="0",BJ342,0)</f>
        <v>0</v>
      </c>
      <c r="AI342" s="28"/>
      <c r="AJ342" s="15">
        <f>IF(AN342=0,K342,0)</f>
        <v>0</v>
      </c>
      <c r="AK342" s="15">
        <f>IF(AN342=15,K342,0)</f>
        <v>0</v>
      </c>
      <c r="AL342" s="15">
        <f>IF(AN342=21,K342,0)</f>
        <v>0</v>
      </c>
      <c r="AN342" s="32">
        <v>21</v>
      </c>
      <c r="AO342" s="32">
        <f>H342*0.0447674418604651</f>
        <v>0</v>
      </c>
      <c r="AP342" s="32">
        <f>H342*(1-0.0447674418604651)</f>
        <v>0</v>
      </c>
      <c r="AQ342" s="27" t="s">
        <v>7</v>
      </c>
      <c r="AV342" s="32">
        <f>AW342+AX342</f>
        <v>0</v>
      </c>
      <c r="AW342" s="32">
        <f>G342*AO342</f>
        <v>0</v>
      </c>
      <c r="AX342" s="32">
        <f>G342*AP342</f>
        <v>0</v>
      </c>
      <c r="AY342" s="33" t="s">
        <v>669</v>
      </c>
      <c r="AZ342" s="33" t="s">
        <v>680</v>
      </c>
      <c r="BA342" s="28" t="s">
        <v>681</v>
      </c>
      <c r="BC342" s="32">
        <f>AW342+AX342</f>
        <v>0</v>
      </c>
      <c r="BD342" s="32">
        <f>H342/(100-BE342)*100</f>
        <v>0</v>
      </c>
      <c r="BE342" s="32">
        <v>0</v>
      </c>
      <c r="BF342" s="32">
        <f>340</f>
        <v>340</v>
      </c>
      <c r="BH342" s="15">
        <f>G342*AO342</f>
        <v>0</v>
      </c>
      <c r="BI342" s="15">
        <f>G342*AP342</f>
        <v>0</v>
      </c>
      <c r="BJ342" s="15">
        <f>G342*H342</f>
        <v>0</v>
      </c>
    </row>
    <row r="343" spans="1:62" x14ac:dyDescent="0.2">
      <c r="C343" s="58" t="s">
        <v>577</v>
      </c>
      <c r="D343" s="59"/>
      <c r="E343" s="59"/>
      <c r="G343" s="16">
        <v>3.33</v>
      </c>
    </row>
    <row r="344" spans="1:62" x14ac:dyDescent="0.2">
      <c r="C344" s="58" t="s">
        <v>578</v>
      </c>
      <c r="D344" s="59"/>
      <c r="E344" s="59"/>
      <c r="G344" s="16">
        <v>2.25</v>
      </c>
    </row>
    <row r="345" spans="1:62" x14ac:dyDescent="0.2">
      <c r="C345" s="58" t="s">
        <v>579</v>
      </c>
      <c r="D345" s="59"/>
      <c r="E345" s="59"/>
      <c r="G345" s="16">
        <v>0</v>
      </c>
    </row>
    <row r="346" spans="1:62" x14ac:dyDescent="0.2">
      <c r="A346" s="4" t="s">
        <v>118</v>
      </c>
      <c r="B346" s="4" t="s">
        <v>253</v>
      </c>
      <c r="C346" s="60" t="s">
        <v>580</v>
      </c>
      <c r="D346" s="61"/>
      <c r="E346" s="61"/>
      <c r="F346" s="4" t="s">
        <v>616</v>
      </c>
      <c r="G346" s="15">
        <v>51.3</v>
      </c>
      <c r="H346" s="15">
        <v>0</v>
      </c>
      <c r="I346" s="15">
        <f>G346*AO346</f>
        <v>0</v>
      </c>
      <c r="J346" s="15">
        <f>G346*AP346</f>
        <v>0</v>
      </c>
      <c r="K346" s="15">
        <f>G346*H346</f>
        <v>0</v>
      </c>
      <c r="L346" s="27" t="s">
        <v>636</v>
      </c>
      <c r="Z346" s="32">
        <f>IF(AQ346="5",BJ346,0)</f>
        <v>0</v>
      </c>
      <c r="AB346" s="32">
        <f>IF(AQ346="1",BH346,0)</f>
        <v>0</v>
      </c>
      <c r="AC346" s="32">
        <f>IF(AQ346="1",BI346,0)</f>
        <v>0</v>
      </c>
      <c r="AD346" s="32">
        <f>IF(AQ346="7",BH346,0)</f>
        <v>0</v>
      </c>
      <c r="AE346" s="32">
        <f>IF(AQ346="7",BI346,0)</f>
        <v>0</v>
      </c>
      <c r="AF346" s="32">
        <f>IF(AQ346="2",BH346,0)</f>
        <v>0</v>
      </c>
      <c r="AG346" s="32">
        <f>IF(AQ346="2",BI346,0)</f>
        <v>0</v>
      </c>
      <c r="AH346" s="32">
        <f>IF(AQ346="0",BJ346,0)</f>
        <v>0</v>
      </c>
      <c r="AI346" s="28"/>
      <c r="AJ346" s="15">
        <f>IF(AN346=0,K346,0)</f>
        <v>0</v>
      </c>
      <c r="AK346" s="15">
        <f>IF(AN346=15,K346,0)</f>
        <v>0</v>
      </c>
      <c r="AL346" s="15">
        <f>IF(AN346=21,K346,0)</f>
        <v>0</v>
      </c>
      <c r="AN346" s="32">
        <v>21</v>
      </c>
      <c r="AO346" s="32">
        <f>H346*0</f>
        <v>0</v>
      </c>
      <c r="AP346" s="32">
        <f>H346*(1-0)</f>
        <v>0</v>
      </c>
      <c r="AQ346" s="27" t="s">
        <v>7</v>
      </c>
      <c r="AV346" s="32">
        <f>AW346+AX346</f>
        <v>0</v>
      </c>
      <c r="AW346" s="32">
        <f>G346*AO346</f>
        <v>0</v>
      </c>
      <c r="AX346" s="32">
        <f>G346*AP346</f>
        <v>0</v>
      </c>
      <c r="AY346" s="33" t="s">
        <v>669</v>
      </c>
      <c r="AZ346" s="33" t="s">
        <v>680</v>
      </c>
      <c r="BA346" s="28" t="s">
        <v>681</v>
      </c>
      <c r="BC346" s="32">
        <f>AW346+AX346</f>
        <v>0</v>
      </c>
      <c r="BD346" s="32">
        <f>H346/(100-BE346)*100</f>
        <v>0</v>
      </c>
      <c r="BE346" s="32">
        <v>0</v>
      </c>
      <c r="BF346" s="32">
        <f>344</f>
        <v>344</v>
      </c>
      <c r="BH346" s="15">
        <f>G346*AO346</f>
        <v>0</v>
      </c>
      <c r="BI346" s="15">
        <f>G346*AP346</f>
        <v>0</v>
      </c>
      <c r="BJ346" s="15">
        <f>G346*H346</f>
        <v>0</v>
      </c>
    </row>
    <row r="347" spans="1:62" x14ac:dyDescent="0.2">
      <c r="C347" s="58" t="s">
        <v>581</v>
      </c>
      <c r="D347" s="59"/>
      <c r="E347" s="59"/>
      <c r="G347" s="16">
        <v>51.3</v>
      </c>
    </row>
    <row r="348" spans="1:62" x14ac:dyDescent="0.2">
      <c r="A348" s="5"/>
      <c r="B348" s="13" t="s">
        <v>103</v>
      </c>
      <c r="C348" s="66" t="s">
        <v>582</v>
      </c>
      <c r="D348" s="67"/>
      <c r="E348" s="67"/>
      <c r="F348" s="5" t="s">
        <v>6</v>
      </c>
      <c r="G348" s="5" t="s">
        <v>6</v>
      </c>
      <c r="H348" s="5" t="s">
        <v>6</v>
      </c>
      <c r="I348" s="35">
        <f>SUM(I349:I349)</f>
        <v>0</v>
      </c>
      <c r="J348" s="35">
        <f>SUM(J349:J349)</f>
        <v>0</v>
      </c>
      <c r="K348" s="35">
        <f>SUM(K349:K349)</f>
        <v>0</v>
      </c>
      <c r="L348" s="28"/>
      <c r="AI348" s="28"/>
      <c r="AS348" s="35">
        <f>SUM(AJ349:AJ349)</f>
        <v>0</v>
      </c>
      <c r="AT348" s="35">
        <f>SUM(AK349:AK349)</f>
        <v>0</v>
      </c>
      <c r="AU348" s="35">
        <f>SUM(AL349:AL349)</f>
        <v>0</v>
      </c>
    </row>
    <row r="349" spans="1:62" x14ac:dyDescent="0.2">
      <c r="A349" s="4" t="s">
        <v>119</v>
      </c>
      <c r="B349" s="4" t="s">
        <v>254</v>
      </c>
      <c r="C349" s="60" t="s">
        <v>583</v>
      </c>
      <c r="D349" s="61"/>
      <c r="E349" s="61"/>
      <c r="F349" s="4" t="s">
        <v>613</v>
      </c>
      <c r="G349" s="15">
        <v>38</v>
      </c>
      <c r="H349" s="15">
        <v>0</v>
      </c>
      <c r="I349" s="15">
        <f>G349*AO349</f>
        <v>0</v>
      </c>
      <c r="J349" s="15">
        <f>G349*AP349</f>
        <v>0</v>
      </c>
      <c r="K349" s="15">
        <f>G349*H349</f>
        <v>0</v>
      </c>
      <c r="L349" s="27" t="s">
        <v>636</v>
      </c>
      <c r="Z349" s="32">
        <f>IF(AQ349="5",BJ349,0)</f>
        <v>0</v>
      </c>
      <c r="AB349" s="32">
        <f>IF(AQ349="1",BH349,0)</f>
        <v>0</v>
      </c>
      <c r="AC349" s="32">
        <f>IF(AQ349="1",BI349,0)</f>
        <v>0</v>
      </c>
      <c r="AD349" s="32">
        <f>IF(AQ349="7",BH349,0)</f>
        <v>0</v>
      </c>
      <c r="AE349" s="32">
        <f>IF(AQ349="7",BI349,0)</f>
        <v>0</v>
      </c>
      <c r="AF349" s="32">
        <f>IF(AQ349="2",BH349,0)</f>
        <v>0</v>
      </c>
      <c r="AG349" s="32">
        <f>IF(AQ349="2",BI349,0)</f>
        <v>0</v>
      </c>
      <c r="AH349" s="32">
        <f>IF(AQ349="0",BJ349,0)</f>
        <v>0</v>
      </c>
      <c r="AI349" s="28"/>
      <c r="AJ349" s="15">
        <f>IF(AN349=0,K349,0)</f>
        <v>0</v>
      </c>
      <c r="AK349" s="15">
        <f>IF(AN349=15,K349,0)</f>
        <v>0</v>
      </c>
      <c r="AL349" s="15">
        <f>IF(AN349=21,K349,0)</f>
        <v>0</v>
      </c>
      <c r="AN349" s="32">
        <v>21</v>
      </c>
      <c r="AO349" s="32">
        <f>H349*0</f>
        <v>0</v>
      </c>
      <c r="AP349" s="32">
        <f>H349*(1-0)</f>
        <v>0</v>
      </c>
      <c r="AQ349" s="27" t="s">
        <v>7</v>
      </c>
      <c r="AV349" s="32">
        <f>AW349+AX349</f>
        <v>0</v>
      </c>
      <c r="AW349" s="32">
        <f>G349*AO349</f>
        <v>0</v>
      </c>
      <c r="AX349" s="32">
        <f>G349*AP349</f>
        <v>0</v>
      </c>
      <c r="AY349" s="33" t="s">
        <v>670</v>
      </c>
      <c r="AZ349" s="33" t="s">
        <v>680</v>
      </c>
      <c r="BA349" s="28" t="s">
        <v>681</v>
      </c>
      <c r="BC349" s="32">
        <f>AW349+AX349</f>
        <v>0</v>
      </c>
      <c r="BD349" s="32">
        <f>H349/(100-BE349)*100</f>
        <v>0</v>
      </c>
      <c r="BE349" s="32">
        <v>0</v>
      </c>
      <c r="BF349" s="32">
        <f>347</f>
        <v>347</v>
      </c>
      <c r="BH349" s="15">
        <f>G349*AO349</f>
        <v>0</v>
      </c>
      <c r="BI349" s="15">
        <f>G349*AP349</f>
        <v>0</v>
      </c>
      <c r="BJ349" s="15">
        <f>G349*H349</f>
        <v>0</v>
      </c>
    </row>
    <row r="350" spans="1:62" x14ac:dyDescent="0.2">
      <c r="C350" s="58" t="s">
        <v>584</v>
      </c>
      <c r="D350" s="59"/>
      <c r="E350" s="59"/>
      <c r="G350" s="16">
        <v>38</v>
      </c>
    </row>
    <row r="351" spans="1:62" x14ac:dyDescent="0.2">
      <c r="A351" s="5"/>
      <c r="B351" s="13" t="s">
        <v>255</v>
      </c>
      <c r="C351" s="66" t="s">
        <v>585</v>
      </c>
      <c r="D351" s="67"/>
      <c r="E351" s="67"/>
      <c r="F351" s="5" t="s">
        <v>6</v>
      </c>
      <c r="G351" s="5" t="s">
        <v>6</v>
      </c>
      <c r="H351" s="5" t="s">
        <v>6</v>
      </c>
      <c r="I351" s="35">
        <f>SUM(I352:I352)</f>
        <v>0</v>
      </c>
      <c r="J351" s="35">
        <f>SUM(J352:J352)</f>
        <v>0</v>
      </c>
      <c r="K351" s="35">
        <f>SUM(K352:K352)</f>
        <v>0</v>
      </c>
      <c r="L351" s="28"/>
      <c r="AI351" s="28"/>
      <c r="AS351" s="35">
        <f>SUM(AJ352:AJ352)</f>
        <v>0</v>
      </c>
      <c r="AT351" s="35">
        <f>SUM(AK352:AK352)</f>
        <v>0</v>
      </c>
      <c r="AU351" s="35">
        <f>SUM(AL352:AL352)</f>
        <v>0</v>
      </c>
    </row>
    <row r="352" spans="1:62" x14ac:dyDescent="0.2">
      <c r="A352" s="4" t="s">
        <v>120</v>
      </c>
      <c r="B352" s="4" t="s">
        <v>256</v>
      </c>
      <c r="C352" s="60" t="s">
        <v>586</v>
      </c>
      <c r="D352" s="61"/>
      <c r="E352" s="61"/>
      <c r="F352" s="4" t="s">
        <v>618</v>
      </c>
      <c r="G352" s="15">
        <v>55.12941</v>
      </c>
      <c r="H352" s="15">
        <v>0</v>
      </c>
      <c r="I352" s="15">
        <f>G352*AO352</f>
        <v>0</v>
      </c>
      <c r="J352" s="15">
        <f>G352*AP352</f>
        <v>0</v>
      </c>
      <c r="K352" s="15">
        <f>G352*H352</f>
        <v>0</v>
      </c>
      <c r="L352" s="27" t="s">
        <v>636</v>
      </c>
      <c r="Z352" s="32">
        <f>IF(AQ352="5",BJ352,0)</f>
        <v>0</v>
      </c>
      <c r="AB352" s="32">
        <f>IF(AQ352="1",BH352,0)</f>
        <v>0</v>
      </c>
      <c r="AC352" s="32">
        <f>IF(AQ352="1",BI352,0)</f>
        <v>0</v>
      </c>
      <c r="AD352" s="32">
        <f>IF(AQ352="7",BH352,0)</f>
        <v>0</v>
      </c>
      <c r="AE352" s="32">
        <f>IF(AQ352="7",BI352,0)</f>
        <v>0</v>
      </c>
      <c r="AF352" s="32">
        <f>IF(AQ352="2",BH352,0)</f>
        <v>0</v>
      </c>
      <c r="AG352" s="32">
        <f>IF(AQ352="2",BI352,0)</f>
        <v>0</v>
      </c>
      <c r="AH352" s="32">
        <f>IF(AQ352="0",BJ352,0)</f>
        <v>0</v>
      </c>
      <c r="AI352" s="28"/>
      <c r="AJ352" s="15">
        <f>IF(AN352=0,K352,0)</f>
        <v>0</v>
      </c>
      <c r="AK352" s="15">
        <f>IF(AN352=15,K352,0)</f>
        <v>0</v>
      </c>
      <c r="AL352" s="15">
        <f>IF(AN352=21,K352,0)</f>
        <v>0</v>
      </c>
      <c r="AN352" s="32">
        <v>21</v>
      </c>
      <c r="AO352" s="32">
        <f>H352*0</f>
        <v>0</v>
      </c>
      <c r="AP352" s="32">
        <f>H352*(1-0)</f>
        <v>0</v>
      </c>
      <c r="AQ352" s="27" t="s">
        <v>11</v>
      </c>
      <c r="AV352" s="32">
        <f>AW352+AX352</f>
        <v>0</v>
      </c>
      <c r="AW352" s="32">
        <f>G352*AO352</f>
        <v>0</v>
      </c>
      <c r="AX352" s="32">
        <f>G352*AP352</f>
        <v>0</v>
      </c>
      <c r="AY352" s="33" t="s">
        <v>671</v>
      </c>
      <c r="AZ352" s="33" t="s">
        <v>680</v>
      </c>
      <c r="BA352" s="28" t="s">
        <v>681</v>
      </c>
      <c r="BC352" s="32">
        <f>AW352+AX352</f>
        <v>0</v>
      </c>
      <c r="BD352" s="32">
        <f>H352/(100-BE352)*100</f>
        <v>0</v>
      </c>
      <c r="BE352" s="32">
        <v>0</v>
      </c>
      <c r="BF352" s="32">
        <f>350</f>
        <v>350</v>
      </c>
      <c r="BH352" s="15">
        <f>G352*AO352</f>
        <v>0</v>
      </c>
      <c r="BI352" s="15">
        <f>G352*AP352</f>
        <v>0</v>
      </c>
      <c r="BJ352" s="15">
        <f>G352*H352</f>
        <v>0</v>
      </c>
    </row>
    <row r="353" spans="1:62" x14ac:dyDescent="0.2">
      <c r="C353" s="58" t="s">
        <v>587</v>
      </c>
      <c r="D353" s="59"/>
      <c r="E353" s="59"/>
      <c r="G353" s="16">
        <v>55.12941</v>
      </c>
    </row>
    <row r="354" spans="1:62" x14ac:dyDescent="0.2">
      <c r="A354" s="5"/>
      <c r="B354" s="13" t="s">
        <v>257</v>
      </c>
      <c r="C354" s="66" t="s">
        <v>588</v>
      </c>
      <c r="D354" s="67"/>
      <c r="E354" s="67"/>
      <c r="F354" s="5" t="s">
        <v>6</v>
      </c>
      <c r="G354" s="5" t="s">
        <v>6</v>
      </c>
      <c r="H354" s="5" t="s">
        <v>6</v>
      </c>
      <c r="I354" s="35">
        <f>SUM(I355:I355)</f>
        <v>0</v>
      </c>
      <c r="J354" s="35">
        <f>SUM(J355:J355)</f>
        <v>0</v>
      </c>
      <c r="K354" s="35">
        <f>SUM(K355:K355)</f>
        <v>0</v>
      </c>
      <c r="L354" s="28"/>
      <c r="AI354" s="28"/>
      <c r="AS354" s="35">
        <f>SUM(AJ355:AJ355)</f>
        <v>0</v>
      </c>
      <c r="AT354" s="35">
        <f>SUM(AK355:AK355)</f>
        <v>0</v>
      </c>
      <c r="AU354" s="35">
        <f>SUM(AL355:AL355)</f>
        <v>0</v>
      </c>
    </row>
    <row r="355" spans="1:62" x14ac:dyDescent="0.2">
      <c r="A355" s="4" t="s">
        <v>121</v>
      </c>
      <c r="B355" s="4" t="s">
        <v>258</v>
      </c>
      <c r="C355" s="60" t="s">
        <v>589</v>
      </c>
      <c r="D355" s="61"/>
      <c r="E355" s="61"/>
      <c r="F355" s="4" t="s">
        <v>613</v>
      </c>
      <c r="G355" s="15">
        <v>56.4</v>
      </c>
      <c r="H355" s="15">
        <v>0</v>
      </c>
      <c r="I355" s="15">
        <f>G355*AO355</f>
        <v>0</v>
      </c>
      <c r="J355" s="15">
        <f>G355*AP355</f>
        <v>0</v>
      </c>
      <c r="K355" s="15">
        <f>G355*H355</f>
        <v>0</v>
      </c>
      <c r="L355" s="27" t="s">
        <v>636</v>
      </c>
      <c r="Z355" s="32">
        <f>IF(AQ355="5",BJ355,0)</f>
        <v>0</v>
      </c>
      <c r="AB355" s="32">
        <f>IF(AQ355="1",BH355,0)</f>
        <v>0</v>
      </c>
      <c r="AC355" s="32">
        <f>IF(AQ355="1",BI355,0)</f>
        <v>0</v>
      </c>
      <c r="AD355" s="32">
        <f>IF(AQ355="7",BH355,0)</f>
        <v>0</v>
      </c>
      <c r="AE355" s="32">
        <f>IF(AQ355="7",BI355,0)</f>
        <v>0</v>
      </c>
      <c r="AF355" s="32">
        <f>IF(AQ355="2",BH355,0)</f>
        <v>0</v>
      </c>
      <c r="AG355" s="32">
        <f>IF(AQ355="2",BI355,0)</f>
        <v>0</v>
      </c>
      <c r="AH355" s="32">
        <f>IF(AQ355="0",BJ355,0)</f>
        <v>0</v>
      </c>
      <c r="AI355" s="28"/>
      <c r="AJ355" s="15">
        <f>IF(AN355=0,K355,0)</f>
        <v>0</v>
      </c>
      <c r="AK355" s="15">
        <f>IF(AN355=15,K355,0)</f>
        <v>0</v>
      </c>
      <c r="AL355" s="15">
        <f>IF(AN355=21,K355,0)</f>
        <v>0</v>
      </c>
      <c r="AN355" s="32">
        <v>21</v>
      </c>
      <c r="AO355" s="32">
        <f>H355*0.111111111111111</f>
        <v>0</v>
      </c>
      <c r="AP355" s="32">
        <f>H355*(1-0.111111111111111)</f>
        <v>0</v>
      </c>
      <c r="AQ355" s="27" t="s">
        <v>8</v>
      </c>
      <c r="AV355" s="32">
        <f>AW355+AX355</f>
        <v>0</v>
      </c>
      <c r="AW355" s="32">
        <f>G355*AO355</f>
        <v>0</v>
      </c>
      <c r="AX355" s="32">
        <f>G355*AP355</f>
        <v>0</v>
      </c>
      <c r="AY355" s="33" t="s">
        <v>672</v>
      </c>
      <c r="AZ355" s="33" t="s">
        <v>680</v>
      </c>
      <c r="BA355" s="28" t="s">
        <v>681</v>
      </c>
      <c r="BC355" s="32">
        <f>AW355+AX355</f>
        <v>0</v>
      </c>
      <c r="BD355" s="32">
        <f>H355/(100-BE355)*100</f>
        <v>0</v>
      </c>
      <c r="BE355" s="32">
        <v>0</v>
      </c>
      <c r="BF355" s="32">
        <f>353</f>
        <v>353</v>
      </c>
      <c r="BH355" s="15">
        <f>G355*AO355</f>
        <v>0</v>
      </c>
      <c r="BI355" s="15">
        <f>G355*AP355</f>
        <v>0</v>
      </c>
      <c r="BJ355" s="15">
        <f>G355*H355</f>
        <v>0</v>
      </c>
    </row>
    <row r="356" spans="1:62" x14ac:dyDescent="0.2">
      <c r="C356" s="58" t="s">
        <v>590</v>
      </c>
      <c r="D356" s="59"/>
      <c r="E356" s="59"/>
      <c r="G356" s="16">
        <v>56.4</v>
      </c>
    </row>
    <row r="357" spans="1:62" x14ac:dyDescent="0.2">
      <c r="A357" s="5"/>
      <c r="B357" s="13" t="s">
        <v>259</v>
      </c>
      <c r="C357" s="66" t="s">
        <v>591</v>
      </c>
      <c r="D357" s="67"/>
      <c r="E357" s="67"/>
      <c r="F357" s="5" t="s">
        <v>6</v>
      </c>
      <c r="G357" s="5" t="s">
        <v>6</v>
      </c>
      <c r="H357" s="5" t="s">
        <v>6</v>
      </c>
      <c r="I357" s="35">
        <f>SUM(I358:I374)</f>
        <v>0</v>
      </c>
      <c r="J357" s="35">
        <f>SUM(J358:J374)</f>
        <v>0</v>
      </c>
      <c r="K357" s="35">
        <f>SUM(K358:K374)</f>
        <v>0</v>
      </c>
      <c r="L357" s="28"/>
      <c r="AI357" s="28"/>
      <c r="AS357" s="35">
        <f>SUM(AJ358:AJ374)</f>
        <v>0</v>
      </c>
      <c r="AT357" s="35">
        <f>SUM(AK358:AK374)</f>
        <v>0</v>
      </c>
      <c r="AU357" s="35">
        <f>SUM(AL358:AL374)</f>
        <v>0</v>
      </c>
    </row>
    <row r="358" spans="1:62" x14ac:dyDescent="0.2">
      <c r="A358" s="4" t="s">
        <v>122</v>
      </c>
      <c r="B358" s="4" t="s">
        <v>260</v>
      </c>
      <c r="C358" s="60" t="s">
        <v>592</v>
      </c>
      <c r="D358" s="61"/>
      <c r="E358" s="61"/>
      <c r="F358" s="4" t="s">
        <v>618</v>
      </c>
      <c r="G358" s="15">
        <v>72.91</v>
      </c>
      <c r="H358" s="15">
        <v>0</v>
      </c>
      <c r="I358" s="15">
        <f>G358*AO358</f>
        <v>0</v>
      </c>
      <c r="J358" s="15">
        <f>G358*AP358</f>
        <v>0</v>
      </c>
      <c r="K358" s="15">
        <f>G358*H358</f>
        <v>0</v>
      </c>
      <c r="L358" s="27" t="s">
        <v>636</v>
      </c>
      <c r="Z358" s="32">
        <f>IF(AQ358="5",BJ358,0)</f>
        <v>0</v>
      </c>
      <c r="AB358" s="32">
        <f>IF(AQ358="1",BH358,0)</f>
        <v>0</v>
      </c>
      <c r="AC358" s="32">
        <f>IF(AQ358="1",BI358,0)</f>
        <v>0</v>
      </c>
      <c r="AD358" s="32">
        <f>IF(AQ358="7",BH358,0)</f>
        <v>0</v>
      </c>
      <c r="AE358" s="32">
        <f>IF(AQ358="7",BI358,0)</f>
        <v>0</v>
      </c>
      <c r="AF358" s="32">
        <f>IF(AQ358="2",BH358,0)</f>
        <v>0</v>
      </c>
      <c r="AG358" s="32">
        <f>IF(AQ358="2",BI358,0)</f>
        <v>0</v>
      </c>
      <c r="AH358" s="32">
        <f>IF(AQ358="0",BJ358,0)</f>
        <v>0</v>
      </c>
      <c r="AI358" s="28"/>
      <c r="AJ358" s="15">
        <f>IF(AN358=0,K358,0)</f>
        <v>0</v>
      </c>
      <c r="AK358" s="15">
        <f>IF(AN358=15,K358,0)</f>
        <v>0</v>
      </c>
      <c r="AL358" s="15">
        <f>IF(AN358=21,K358,0)</f>
        <v>0</v>
      </c>
      <c r="AN358" s="32">
        <v>21</v>
      </c>
      <c r="AO358" s="32">
        <f>H358*0</f>
        <v>0</v>
      </c>
      <c r="AP358" s="32">
        <f>H358*(1-0)</f>
        <v>0</v>
      </c>
      <c r="AQ358" s="27" t="s">
        <v>11</v>
      </c>
      <c r="AV358" s="32">
        <f>AW358+AX358</f>
        <v>0</v>
      </c>
      <c r="AW358" s="32">
        <f>G358*AO358</f>
        <v>0</v>
      </c>
      <c r="AX358" s="32">
        <f>G358*AP358</f>
        <v>0</v>
      </c>
      <c r="AY358" s="33" t="s">
        <v>673</v>
      </c>
      <c r="AZ358" s="33" t="s">
        <v>680</v>
      </c>
      <c r="BA358" s="28" t="s">
        <v>681</v>
      </c>
      <c r="BC358" s="32">
        <f>AW358+AX358</f>
        <v>0</v>
      </c>
      <c r="BD358" s="32">
        <f>H358/(100-BE358)*100</f>
        <v>0</v>
      </c>
      <c r="BE358" s="32">
        <v>0</v>
      </c>
      <c r="BF358" s="32">
        <f>356</f>
        <v>356</v>
      </c>
      <c r="BH358" s="15">
        <f>G358*AO358</f>
        <v>0</v>
      </c>
      <c r="BI358" s="15">
        <f>G358*AP358</f>
        <v>0</v>
      </c>
      <c r="BJ358" s="15">
        <f>G358*H358</f>
        <v>0</v>
      </c>
    </row>
    <row r="359" spans="1:62" x14ac:dyDescent="0.2">
      <c r="C359" s="58" t="s">
        <v>593</v>
      </c>
      <c r="D359" s="59"/>
      <c r="E359" s="59"/>
      <c r="G359" s="16">
        <v>72.91</v>
      </c>
    </row>
    <row r="360" spans="1:62" x14ac:dyDescent="0.2">
      <c r="A360" s="4" t="s">
        <v>123</v>
      </c>
      <c r="B360" s="4" t="s">
        <v>261</v>
      </c>
      <c r="C360" s="60" t="s">
        <v>594</v>
      </c>
      <c r="D360" s="61"/>
      <c r="E360" s="61"/>
      <c r="F360" s="4" t="s">
        <v>618</v>
      </c>
      <c r="G360" s="15">
        <v>72.91</v>
      </c>
      <c r="H360" s="15">
        <v>0</v>
      </c>
      <c r="I360" s="15">
        <f>G360*AO360</f>
        <v>0</v>
      </c>
      <c r="J360" s="15">
        <f>G360*AP360</f>
        <v>0</v>
      </c>
      <c r="K360" s="15">
        <f>G360*H360</f>
        <v>0</v>
      </c>
      <c r="L360" s="27" t="s">
        <v>636</v>
      </c>
      <c r="Z360" s="32">
        <f>IF(AQ360="5",BJ360,0)</f>
        <v>0</v>
      </c>
      <c r="AB360" s="32">
        <f>IF(AQ360="1",BH360,0)</f>
        <v>0</v>
      </c>
      <c r="AC360" s="32">
        <f>IF(AQ360="1",BI360,0)</f>
        <v>0</v>
      </c>
      <c r="AD360" s="32">
        <f>IF(AQ360="7",BH360,0)</f>
        <v>0</v>
      </c>
      <c r="AE360" s="32">
        <f>IF(AQ360="7",BI360,0)</f>
        <v>0</v>
      </c>
      <c r="AF360" s="32">
        <f>IF(AQ360="2",BH360,0)</f>
        <v>0</v>
      </c>
      <c r="AG360" s="32">
        <f>IF(AQ360="2",BI360,0)</f>
        <v>0</v>
      </c>
      <c r="AH360" s="32">
        <f>IF(AQ360="0",BJ360,0)</f>
        <v>0</v>
      </c>
      <c r="AI360" s="28"/>
      <c r="AJ360" s="15">
        <f>IF(AN360=0,K360,0)</f>
        <v>0</v>
      </c>
      <c r="AK360" s="15">
        <f>IF(AN360=15,K360,0)</f>
        <v>0</v>
      </c>
      <c r="AL360" s="15">
        <f>IF(AN360=21,K360,0)</f>
        <v>0</v>
      </c>
      <c r="AN360" s="32">
        <v>21</v>
      </c>
      <c r="AO360" s="32">
        <f>H360*0</f>
        <v>0</v>
      </c>
      <c r="AP360" s="32">
        <f>H360*(1-0)</f>
        <v>0</v>
      </c>
      <c r="AQ360" s="27" t="s">
        <v>11</v>
      </c>
      <c r="AV360" s="32">
        <f>AW360+AX360</f>
        <v>0</v>
      </c>
      <c r="AW360" s="32">
        <f>G360*AO360</f>
        <v>0</v>
      </c>
      <c r="AX360" s="32">
        <f>G360*AP360</f>
        <v>0</v>
      </c>
      <c r="AY360" s="33" t="s">
        <v>673</v>
      </c>
      <c r="AZ360" s="33" t="s">
        <v>680</v>
      </c>
      <c r="BA360" s="28" t="s">
        <v>681</v>
      </c>
      <c r="BC360" s="32">
        <f>AW360+AX360</f>
        <v>0</v>
      </c>
      <c r="BD360" s="32">
        <f>H360/(100-BE360)*100</f>
        <v>0</v>
      </c>
      <c r="BE360" s="32">
        <v>0</v>
      </c>
      <c r="BF360" s="32">
        <f>358</f>
        <v>358</v>
      </c>
      <c r="BH360" s="15">
        <f>G360*AO360</f>
        <v>0</v>
      </c>
      <c r="BI360" s="15">
        <f>G360*AP360</f>
        <v>0</v>
      </c>
      <c r="BJ360" s="15">
        <f>G360*H360</f>
        <v>0</v>
      </c>
    </row>
    <row r="361" spans="1:62" x14ac:dyDescent="0.2">
      <c r="C361" s="58" t="s">
        <v>593</v>
      </c>
      <c r="D361" s="59"/>
      <c r="E361" s="59"/>
      <c r="G361" s="16">
        <v>72.91</v>
      </c>
    </row>
    <row r="362" spans="1:62" x14ac:dyDescent="0.2">
      <c r="A362" s="4" t="s">
        <v>124</v>
      </c>
      <c r="B362" s="4" t="s">
        <v>262</v>
      </c>
      <c r="C362" s="60" t="s">
        <v>595</v>
      </c>
      <c r="D362" s="61"/>
      <c r="E362" s="61"/>
      <c r="F362" s="4" t="s">
        <v>618</v>
      </c>
      <c r="G362" s="15">
        <v>72.91</v>
      </c>
      <c r="H362" s="15">
        <v>0</v>
      </c>
      <c r="I362" s="15">
        <f>G362*AO362</f>
        <v>0</v>
      </c>
      <c r="J362" s="15">
        <f>G362*AP362</f>
        <v>0</v>
      </c>
      <c r="K362" s="15">
        <f>G362*H362</f>
        <v>0</v>
      </c>
      <c r="L362" s="27" t="s">
        <v>636</v>
      </c>
      <c r="Z362" s="32">
        <f>IF(AQ362="5",BJ362,0)</f>
        <v>0</v>
      </c>
      <c r="AB362" s="32">
        <f>IF(AQ362="1",BH362,0)</f>
        <v>0</v>
      </c>
      <c r="AC362" s="32">
        <f>IF(AQ362="1",BI362,0)</f>
        <v>0</v>
      </c>
      <c r="AD362" s="32">
        <f>IF(AQ362="7",BH362,0)</f>
        <v>0</v>
      </c>
      <c r="AE362" s="32">
        <f>IF(AQ362="7",BI362,0)</f>
        <v>0</v>
      </c>
      <c r="AF362" s="32">
        <f>IF(AQ362="2",BH362,0)</f>
        <v>0</v>
      </c>
      <c r="AG362" s="32">
        <f>IF(AQ362="2",BI362,0)</f>
        <v>0</v>
      </c>
      <c r="AH362" s="32">
        <f>IF(AQ362="0",BJ362,0)</f>
        <v>0</v>
      </c>
      <c r="AI362" s="28"/>
      <c r="AJ362" s="15">
        <f>IF(AN362=0,K362,0)</f>
        <v>0</v>
      </c>
      <c r="AK362" s="15">
        <f>IF(AN362=15,K362,0)</f>
        <v>0</v>
      </c>
      <c r="AL362" s="15">
        <f>IF(AN362=21,K362,0)</f>
        <v>0</v>
      </c>
      <c r="AN362" s="32">
        <v>21</v>
      </c>
      <c r="AO362" s="32">
        <f>H362*0</f>
        <v>0</v>
      </c>
      <c r="AP362" s="32">
        <f>H362*(1-0)</f>
        <v>0</v>
      </c>
      <c r="AQ362" s="27" t="s">
        <v>11</v>
      </c>
      <c r="AV362" s="32">
        <f>AW362+AX362</f>
        <v>0</v>
      </c>
      <c r="AW362" s="32">
        <f>G362*AO362</f>
        <v>0</v>
      </c>
      <c r="AX362" s="32">
        <f>G362*AP362</f>
        <v>0</v>
      </c>
      <c r="AY362" s="33" t="s">
        <v>673</v>
      </c>
      <c r="AZ362" s="33" t="s">
        <v>680</v>
      </c>
      <c r="BA362" s="28" t="s">
        <v>681</v>
      </c>
      <c r="BC362" s="32">
        <f>AW362+AX362</f>
        <v>0</v>
      </c>
      <c r="BD362" s="32">
        <f>H362/(100-BE362)*100</f>
        <v>0</v>
      </c>
      <c r="BE362" s="32">
        <v>0</v>
      </c>
      <c r="BF362" s="32">
        <f>360</f>
        <v>360</v>
      </c>
      <c r="BH362" s="15">
        <f>G362*AO362</f>
        <v>0</v>
      </c>
      <c r="BI362" s="15">
        <f>G362*AP362</f>
        <v>0</v>
      </c>
      <c r="BJ362" s="15">
        <f>G362*H362</f>
        <v>0</v>
      </c>
    </row>
    <row r="363" spans="1:62" x14ac:dyDescent="0.2">
      <c r="C363" s="58" t="s">
        <v>593</v>
      </c>
      <c r="D363" s="59"/>
      <c r="E363" s="59"/>
      <c r="G363" s="16">
        <v>72.91</v>
      </c>
    </row>
    <row r="364" spans="1:62" x14ac:dyDescent="0.2">
      <c r="A364" s="4" t="s">
        <v>125</v>
      </c>
      <c r="B364" s="4" t="s">
        <v>263</v>
      </c>
      <c r="C364" s="60" t="s">
        <v>596</v>
      </c>
      <c r="D364" s="61"/>
      <c r="E364" s="61"/>
      <c r="F364" s="4" t="s">
        <v>618</v>
      </c>
      <c r="G364" s="15">
        <v>72.91</v>
      </c>
      <c r="H364" s="15">
        <v>0</v>
      </c>
      <c r="I364" s="15">
        <f>G364*AO364</f>
        <v>0</v>
      </c>
      <c r="J364" s="15">
        <f>G364*AP364</f>
        <v>0</v>
      </c>
      <c r="K364" s="15">
        <f>G364*H364</f>
        <v>0</v>
      </c>
      <c r="L364" s="27" t="s">
        <v>636</v>
      </c>
      <c r="Z364" s="32">
        <f>IF(AQ364="5",BJ364,0)</f>
        <v>0</v>
      </c>
      <c r="AB364" s="32">
        <f>IF(AQ364="1",BH364,0)</f>
        <v>0</v>
      </c>
      <c r="AC364" s="32">
        <f>IF(AQ364="1",BI364,0)</f>
        <v>0</v>
      </c>
      <c r="AD364" s="32">
        <f>IF(AQ364="7",BH364,0)</f>
        <v>0</v>
      </c>
      <c r="AE364" s="32">
        <f>IF(AQ364="7",BI364,0)</f>
        <v>0</v>
      </c>
      <c r="AF364" s="32">
        <f>IF(AQ364="2",BH364,0)</f>
        <v>0</v>
      </c>
      <c r="AG364" s="32">
        <f>IF(AQ364="2",BI364,0)</f>
        <v>0</v>
      </c>
      <c r="AH364" s="32">
        <f>IF(AQ364="0",BJ364,0)</f>
        <v>0</v>
      </c>
      <c r="AI364" s="28"/>
      <c r="AJ364" s="15">
        <f>IF(AN364=0,K364,0)</f>
        <v>0</v>
      </c>
      <c r="AK364" s="15">
        <f>IF(AN364=15,K364,0)</f>
        <v>0</v>
      </c>
      <c r="AL364" s="15">
        <f>IF(AN364=21,K364,0)</f>
        <v>0</v>
      </c>
      <c r="AN364" s="32">
        <v>21</v>
      </c>
      <c r="AO364" s="32">
        <f>H364*0</f>
        <v>0</v>
      </c>
      <c r="AP364" s="32">
        <f>H364*(1-0)</f>
        <v>0</v>
      </c>
      <c r="AQ364" s="27" t="s">
        <v>11</v>
      </c>
      <c r="AV364" s="32">
        <f>AW364+AX364</f>
        <v>0</v>
      </c>
      <c r="AW364" s="32">
        <f>G364*AO364</f>
        <v>0</v>
      </c>
      <c r="AX364" s="32">
        <f>G364*AP364</f>
        <v>0</v>
      </c>
      <c r="AY364" s="33" t="s">
        <v>673</v>
      </c>
      <c r="AZ364" s="33" t="s">
        <v>680</v>
      </c>
      <c r="BA364" s="28" t="s">
        <v>681</v>
      </c>
      <c r="BC364" s="32">
        <f>AW364+AX364</f>
        <v>0</v>
      </c>
      <c r="BD364" s="32">
        <f>H364/(100-BE364)*100</f>
        <v>0</v>
      </c>
      <c r="BE364" s="32">
        <v>0</v>
      </c>
      <c r="BF364" s="32">
        <f>362</f>
        <v>362</v>
      </c>
      <c r="BH364" s="15">
        <f>G364*AO364</f>
        <v>0</v>
      </c>
      <c r="BI364" s="15">
        <f>G364*AP364</f>
        <v>0</v>
      </c>
      <c r="BJ364" s="15">
        <f>G364*H364</f>
        <v>0</v>
      </c>
    </row>
    <row r="365" spans="1:62" x14ac:dyDescent="0.2">
      <c r="C365" s="58" t="s">
        <v>593</v>
      </c>
      <c r="D365" s="59"/>
      <c r="E365" s="59"/>
      <c r="G365" s="16">
        <v>72.91</v>
      </c>
    </row>
    <row r="366" spans="1:62" x14ac:dyDescent="0.2">
      <c r="A366" s="4" t="s">
        <v>126</v>
      </c>
      <c r="B366" s="4" t="s">
        <v>264</v>
      </c>
      <c r="C366" s="60" t="s">
        <v>597</v>
      </c>
      <c r="D366" s="61"/>
      <c r="E366" s="61"/>
      <c r="F366" s="4" t="s">
        <v>618</v>
      </c>
      <c r="G366" s="15">
        <v>1385.29</v>
      </c>
      <c r="H366" s="15">
        <v>0</v>
      </c>
      <c r="I366" s="15">
        <f>G366*AO366</f>
        <v>0</v>
      </c>
      <c r="J366" s="15">
        <f>G366*AP366</f>
        <v>0</v>
      </c>
      <c r="K366" s="15">
        <f>G366*H366</f>
        <v>0</v>
      </c>
      <c r="L366" s="27" t="s">
        <v>636</v>
      </c>
      <c r="Z366" s="32">
        <f>IF(AQ366="5",BJ366,0)</f>
        <v>0</v>
      </c>
      <c r="AB366" s="32">
        <f>IF(AQ366="1",BH366,0)</f>
        <v>0</v>
      </c>
      <c r="AC366" s="32">
        <f>IF(AQ366="1",BI366,0)</f>
        <v>0</v>
      </c>
      <c r="AD366" s="32">
        <f>IF(AQ366="7",BH366,0)</f>
        <v>0</v>
      </c>
      <c r="AE366" s="32">
        <f>IF(AQ366="7",BI366,0)</f>
        <v>0</v>
      </c>
      <c r="AF366" s="32">
        <f>IF(AQ366="2",BH366,0)</f>
        <v>0</v>
      </c>
      <c r="AG366" s="32">
        <f>IF(AQ366="2",BI366,0)</f>
        <v>0</v>
      </c>
      <c r="AH366" s="32">
        <f>IF(AQ366="0",BJ366,0)</f>
        <v>0</v>
      </c>
      <c r="AI366" s="28"/>
      <c r="AJ366" s="15">
        <f>IF(AN366=0,K366,0)</f>
        <v>0</v>
      </c>
      <c r="AK366" s="15">
        <f>IF(AN366=15,K366,0)</f>
        <v>0</v>
      </c>
      <c r="AL366" s="15">
        <f>IF(AN366=21,K366,0)</f>
        <v>0</v>
      </c>
      <c r="AN366" s="32">
        <v>21</v>
      </c>
      <c r="AO366" s="32">
        <f>H366*0</f>
        <v>0</v>
      </c>
      <c r="AP366" s="32">
        <f>H366*(1-0)</f>
        <v>0</v>
      </c>
      <c r="AQ366" s="27" t="s">
        <v>11</v>
      </c>
      <c r="AV366" s="32">
        <f>AW366+AX366</f>
        <v>0</v>
      </c>
      <c r="AW366" s="32">
        <f>G366*AO366</f>
        <v>0</v>
      </c>
      <c r="AX366" s="32">
        <f>G366*AP366</f>
        <v>0</v>
      </c>
      <c r="AY366" s="33" t="s">
        <v>673</v>
      </c>
      <c r="AZ366" s="33" t="s">
        <v>680</v>
      </c>
      <c r="BA366" s="28" t="s">
        <v>681</v>
      </c>
      <c r="BC366" s="32">
        <f>AW366+AX366</f>
        <v>0</v>
      </c>
      <c r="BD366" s="32">
        <f>H366/(100-BE366)*100</f>
        <v>0</v>
      </c>
      <c r="BE366" s="32">
        <v>0</v>
      </c>
      <c r="BF366" s="32">
        <f>364</f>
        <v>364</v>
      </c>
      <c r="BH366" s="15">
        <f>G366*AO366</f>
        <v>0</v>
      </c>
      <c r="BI366" s="15">
        <f>G366*AP366</f>
        <v>0</v>
      </c>
      <c r="BJ366" s="15">
        <f>G366*H366</f>
        <v>0</v>
      </c>
    </row>
    <row r="367" spans="1:62" x14ac:dyDescent="0.2">
      <c r="C367" s="58" t="s">
        <v>598</v>
      </c>
      <c r="D367" s="59"/>
      <c r="E367" s="59"/>
      <c r="G367" s="16">
        <v>1385.29</v>
      </c>
    </row>
    <row r="368" spans="1:62" x14ac:dyDescent="0.2">
      <c r="A368" s="4" t="s">
        <v>127</v>
      </c>
      <c r="B368" s="4" t="s">
        <v>265</v>
      </c>
      <c r="C368" s="60" t="s">
        <v>599</v>
      </c>
      <c r="D368" s="61"/>
      <c r="E368" s="61"/>
      <c r="F368" s="4" t="s">
        <v>618</v>
      </c>
      <c r="G368" s="15">
        <v>12.848000000000001</v>
      </c>
      <c r="H368" s="15">
        <v>0</v>
      </c>
      <c r="I368" s="15">
        <f>G368*AO368</f>
        <v>0</v>
      </c>
      <c r="J368" s="15">
        <f>G368*AP368</f>
        <v>0</v>
      </c>
      <c r="K368" s="15">
        <f>G368*H368</f>
        <v>0</v>
      </c>
      <c r="L368" s="27" t="s">
        <v>636</v>
      </c>
      <c r="Z368" s="32">
        <f>IF(AQ368="5",BJ368,0)</f>
        <v>0</v>
      </c>
      <c r="AB368" s="32">
        <f>IF(AQ368="1",BH368,0)</f>
        <v>0</v>
      </c>
      <c r="AC368" s="32">
        <f>IF(AQ368="1",BI368,0)</f>
        <v>0</v>
      </c>
      <c r="AD368" s="32">
        <f>IF(AQ368="7",BH368,0)</f>
        <v>0</v>
      </c>
      <c r="AE368" s="32">
        <f>IF(AQ368="7",BI368,0)</f>
        <v>0</v>
      </c>
      <c r="AF368" s="32">
        <f>IF(AQ368="2",BH368,0)</f>
        <v>0</v>
      </c>
      <c r="AG368" s="32">
        <f>IF(AQ368="2",BI368,0)</f>
        <v>0</v>
      </c>
      <c r="AH368" s="32">
        <f>IF(AQ368="0",BJ368,0)</f>
        <v>0</v>
      </c>
      <c r="AI368" s="28"/>
      <c r="AJ368" s="15">
        <f>IF(AN368=0,K368,0)</f>
        <v>0</v>
      </c>
      <c r="AK368" s="15">
        <f>IF(AN368=15,K368,0)</f>
        <v>0</v>
      </c>
      <c r="AL368" s="15">
        <f>IF(AN368=21,K368,0)</f>
        <v>0</v>
      </c>
      <c r="AN368" s="32">
        <v>21</v>
      </c>
      <c r="AO368" s="32">
        <f>H368*0</f>
        <v>0</v>
      </c>
      <c r="AP368" s="32">
        <f>H368*(1-0)</f>
        <v>0</v>
      </c>
      <c r="AQ368" s="27" t="s">
        <v>11</v>
      </c>
      <c r="AV368" s="32">
        <f>AW368+AX368</f>
        <v>0</v>
      </c>
      <c r="AW368" s="32">
        <f>G368*AO368</f>
        <v>0</v>
      </c>
      <c r="AX368" s="32">
        <f>G368*AP368</f>
        <v>0</v>
      </c>
      <c r="AY368" s="33" t="s">
        <v>673</v>
      </c>
      <c r="AZ368" s="33" t="s">
        <v>680</v>
      </c>
      <c r="BA368" s="28" t="s">
        <v>681</v>
      </c>
      <c r="BC368" s="32">
        <f>AW368+AX368</f>
        <v>0</v>
      </c>
      <c r="BD368" s="32">
        <f>H368/(100-BE368)*100</f>
        <v>0</v>
      </c>
      <c r="BE368" s="32">
        <v>0</v>
      </c>
      <c r="BF368" s="32">
        <f>366</f>
        <v>366</v>
      </c>
      <c r="BH368" s="15">
        <f>G368*AO368</f>
        <v>0</v>
      </c>
      <c r="BI368" s="15">
        <f>G368*AP368</f>
        <v>0</v>
      </c>
      <c r="BJ368" s="15">
        <f>G368*H368</f>
        <v>0</v>
      </c>
    </row>
    <row r="369" spans="1:62" x14ac:dyDescent="0.2">
      <c r="C369" s="58" t="s">
        <v>600</v>
      </c>
      <c r="D369" s="59"/>
      <c r="E369" s="59"/>
      <c r="G369" s="16">
        <v>12.848000000000001</v>
      </c>
    </row>
    <row r="370" spans="1:62" x14ac:dyDescent="0.2">
      <c r="A370" s="4" t="s">
        <v>128</v>
      </c>
      <c r="B370" s="4" t="s">
        <v>266</v>
      </c>
      <c r="C370" s="60" t="s">
        <v>601</v>
      </c>
      <c r="D370" s="61"/>
      <c r="E370" s="61"/>
      <c r="F370" s="4" t="s">
        <v>618</v>
      </c>
      <c r="G370" s="15">
        <v>10.85</v>
      </c>
      <c r="H370" s="15">
        <v>0</v>
      </c>
      <c r="I370" s="15">
        <f>G370*AO370</f>
        <v>0</v>
      </c>
      <c r="J370" s="15">
        <f>G370*AP370</f>
        <v>0</v>
      </c>
      <c r="K370" s="15">
        <f>G370*H370</f>
        <v>0</v>
      </c>
      <c r="L370" s="27" t="s">
        <v>636</v>
      </c>
      <c r="Z370" s="32">
        <f>IF(AQ370="5",BJ370,0)</f>
        <v>0</v>
      </c>
      <c r="AB370" s="32">
        <f>IF(AQ370="1",BH370,0)</f>
        <v>0</v>
      </c>
      <c r="AC370" s="32">
        <f>IF(AQ370="1",BI370,0)</f>
        <v>0</v>
      </c>
      <c r="AD370" s="32">
        <f>IF(AQ370="7",BH370,0)</f>
        <v>0</v>
      </c>
      <c r="AE370" s="32">
        <f>IF(AQ370="7",BI370,0)</f>
        <v>0</v>
      </c>
      <c r="AF370" s="32">
        <f>IF(AQ370="2",BH370,0)</f>
        <v>0</v>
      </c>
      <c r="AG370" s="32">
        <f>IF(AQ370="2",BI370,0)</f>
        <v>0</v>
      </c>
      <c r="AH370" s="32">
        <f>IF(AQ370="0",BJ370,0)</f>
        <v>0</v>
      </c>
      <c r="AI370" s="28"/>
      <c r="AJ370" s="15">
        <f>IF(AN370=0,K370,0)</f>
        <v>0</v>
      </c>
      <c r="AK370" s="15">
        <f>IF(AN370=15,K370,0)</f>
        <v>0</v>
      </c>
      <c r="AL370" s="15">
        <f>IF(AN370=21,K370,0)</f>
        <v>0</v>
      </c>
      <c r="AN370" s="32">
        <v>21</v>
      </c>
      <c r="AO370" s="32">
        <f>H370*0</f>
        <v>0</v>
      </c>
      <c r="AP370" s="32">
        <f>H370*(1-0)</f>
        <v>0</v>
      </c>
      <c r="AQ370" s="27" t="s">
        <v>11</v>
      </c>
      <c r="AV370" s="32">
        <f>AW370+AX370</f>
        <v>0</v>
      </c>
      <c r="AW370" s="32">
        <f>G370*AO370</f>
        <v>0</v>
      </c>
      <c r="AX370" s="32">
        <f>G370*AP370</f>
        <v>0</v>
      </c>
      <c r="AY370" s="33" t="s">
        <v>673</v>
      </c>
      <c r="AZ370" s="33" t="s">
        <v>680</v>
      </c>
      <c r="BA370" s="28" t="s">
        <v>681</v>
      </c>
      <c r="BC370" s="32">
        <f>AW370+AX370</f>
        <v>0</v>
      </c>
      <c r="BD370" s="32">
        <f>H370/(100-BE370)*100</f>
        <v>0</v>
      </c>
      <c r="BE370" s="32">
        <v>0</v>
      </c>
      <c r="BF370" s="32">
        <f>368</f>
        <v>368</v>
      </c>
      <c r="BH370" s="15">
        <f>G370*AO370</f>
        <v>0</v>
      </c>
      <c r="BI370" s="15">
        <f>G370*AP370</f>
        <v>0</v>
      </c>
      <c r="BJ370" s="15">
        <f>G370*H370</f>
        <v>0</v>
      </c>
    </row>
    <row r="371" spans="1:62" x14ac:dyDescent="0.2">
      <c r="C371" s="58" t="s">
        <v>602</v>
      </c>
      <c r="D371" s="59"/>
      <c r="E371" s="59"/>
      <c r="G371" s="16">
        <v>10.85</v>
      </c>
    </row>
    <row r="372" spans="1:62" x14ac:dyDescent="0.2">
      <c r="A372" s="4" t="s">
        <v>129</v>
      </c>
      <c r="B372" s="4" t="s">
        <v>267</v>
      </c>
      <c r="C372" s="60" t="s">
        <v>603</v>
      </c>
      <c r="D372" s="61"/>
      <c r="E372" s="61"/>
      <c r="F372" s="4" t="s">
        <v>618</v>
      </c>
      <c r="G372" s="15">
        <v>23.25</v>
      </c>
      <c r="H372" s="15">
        <v>0</v>
      </c>
      <c r="I372" s="15">
        <f>G372*AO372</f>
        <v>0</v>
      </c>
      <c r="J372" s="15">
        <f>G372*AP372</f>
        <v>0</v>
      </c>
      <c r="K372" s="15">
        <f>G372*H372</f>
        <v>0</v>
      </c>
      <c r="L372" s="27" t="s">
        <v>637</v>
      </c>
      <c r="Z372" s="32">
        <f>IF(AQ372="5",BJ372,0)</f>
        <v>0</v>
      </c>
      <c r="AB372" s="32">
        <f>IF(AQ372="1",BH372,0)</f>
        <v>0</v>
      </c>
      <c r="AC372" s="32">
        <f>IF(AQ372="1",BI372,0)</f>
        <v>0</v>
      </c>
      <c r="AD372" s="32">
        <f>IF(AQ372="7",BH372,0)</f>
        <v>0</v>
      </c>
      <c r="AE372" s="32">
        <f>IF(AQ372="7",BI372,0)</f>
        <v>0</v>
      </c>
      <c r="AF372" s="32">
        <f>IF(AQ372="2",BH372,0)</f>
        <v>0</v>
      </c>
      <c r="AG372" s="32">
        <f>IF(AQ372="2",BI372,0)</f>
        <v>0</v>
      </c>
      <c r="AH372" s="32">
        <f>IF(AQ372="0",BJ372,0)</f>
        <v>0</v>
      </c>
      <c r="AI372" s="28"/>
      <c r="AJ372" s="15">
        <f>IF(AN372=0,K372,0)</f>
        <v>0</v>
      </c>
      <c r="AK372" s="15">
        <f>IF(AN372=15,K372,0)</f>
        <v>0</v>
      </c>
      <c r="AL372" s="15">
        <f>IF(AN372=21,K372,0)</f>
        <v>0</v>
      </c>
      <c r="AN372" s="32">
        <v>21</v>
      </c>
      <c r="AO372" s="32">
        <f>H372*0</f>
        <v>0</v>
      </c>
      <c r="AP372" s="32">
        <f>H372*(1-0)</f>
        <v>0</v>
      </c>
      <c r="AQ372" s="27" t="s">
        <v>11</v>
      </c>
      <c r="AV372" s="32">
        <f>AW372+AX372</f>
        <v>0</v>
      </c>
      <c r="AW372" s="32">
        <f>G372*AO372</f>
        <v>0</v>
      </c>
      <c r="AX372" s="32">
        <f>G372*AP372</f>
        <v>0</v>
      </c>
      <c r="AY372" s="33" t="s">
        <v>673</v>
      </c>
      <c r="AZ372" s="33" t="s">
        <v>680</v>
      </c>
      <c r="BA372" s="28" t="s">
        <v>681</v>
      </c>
      <c r="BC372" s="32">
        <f>AW372+AX372</f>
        <v>0</v>
      </c>
      <c r="BD372" s="32">
        <f>H372/(100-BE372)*100</f>
        <v>0</v>
      </c>
      <c r="BE372" s="32">
        <v>0</v>
      </c>
      <c r="BF372" s="32">
        <f>370</f>
        <v>370</v>
      </c>
      <c r="BH372" s="15">
        <f>G372*AO372</f>
        <v>0</v>
      </c>
      <c r="BI372" s="15">
        <f>G372*AP372</f>
        <v>0</v>
      </c>
      <c r="BJ372" s="15">
        <f>G372*H372</f>
        <v>0</v>
      </c>
    </row>
    <row r="373" spans="1:62" x14ac:dyDescent="0.2">
      <c r="C373" s="58" t="s">
        <v>604</v>
      </c>
      <c r="D373" s="59"/>
      <c r="E373" s="59"/>
      <c r="G373" s="16">
        <v>23.25</v>
      </c>
    </row>
    <row r="374" spans="1:62" x14ac:dyDescent="0.2">
      <c r="A374" s="4" t="s">
        <v>130</v>
      </c>
      <c r="B374" s="4" t="s">
        <v>268</v>
      </c>
      <c r="C374" s="60" t="s">
        <v>605</v>
      </c>
      <c r="D374" s="61"/>
      <c r="E374" s="61"/>
      <c r="F374" s="4" t="s">
        <v>618</v>
      </c>
      <c r="G374" s="15">
        <v>25.962</v>
      </c>
      <c r="H374" s="15">
        <v>0</v>
      </c>
      <c r="I374" s="15">
        <f>G374*AO374</f>
        <v>0</v>
      </c>
      <c r="J374" s="15">
        <f>G374*AP374</f>
        <v>0</v>
      </c>
      <c r="K374" s="15">
        <f>G374*H374</f>
        <v>0</v>
      </c>
      <c r="L374" s="27" t="s">
        <v>636</v>
      </c>
      <c r="Z374" s="32">
        <f>IF(AQ374="5",BJ374,0)</f>
        <v>0</v>
      </c>
      <c r="AB374" s="32">
        <f>IF(AQ374="1",BH374,0)</f>
        <v>0</v>
      </c>
      <c r="AC374" s="32">
        <f>IF(AQ374="1",BI374,0)</f>
        <v>0</v>
      </c>
      <c r="AD374" s="32">
        <f>IF(AQ374="7",BH374,0)</f>
        <v>0</v>
      </c>
      <c r="AE374" s="32">
        <f>IF(AQ374="7",BI374,0)</f>
        <v>0</v>
      </c>
      <c r="AF374" s="32">
        <f>IF(AQ374="2",BH374,0)</f>
        <v>0</v>
      </c>
      <c r="AG374" s="32">
        <f>IF(AQ374="2",BI374,0)</f>
        <v>0</v>
      </c>
      <c r="AH374" s="32">
        <f>IF(AQ374="0",BJ374,0)</f>
        <v>0</v>
      </c>
      <c r="AI374" s="28"/>
      <c r="AJ374" s="15">
        <f>IF(AN374=0,K374,0)</f>
        <v>0</v>
      </c>
      <c r="AK374" s="15">
        <f>IF(AN374=15,K374,0)</f>
        <v>0</v>
      </c>
      <c r="AL374" s="15">
        <f>IF(AN374=21,K374,0)</f>
        <v>0</v>
      </c>
      <c r="AN374" s="32">
        <v>21</v>
      </c>
      <c r="AO374" s="32">
        <f>H374*0</f>
        <v>0</v>
      </c>
      <c r="AP374" s="32">
        <f>H374*(1-0)</f>
        <v>0</v>
      </c>
      <c r="AQ374" s="27" t="s">
        <v>11</v>
      </c>
      <c r="AV374" s="32">
        <f>AW374+AX374</f>
        <v>0</v>
      </c>
      <c r="AW374" s="32">
        <f>G374*AO374</f>
        <v>0</v>
      </c>
      <c r="AX374" s="32">
        <f>G374*AP374</f>
        <v>0</v>
      </c>
      <c r="AY374" s="33" t="s">
        <v>673</v>
      </c>
      <c r="AZ374" s="33" t="s">
        <v>680</v>
      </c>
      <c r="BA374" s="28" t="s">
        <v>681</v>
      </c>
      <c r="BC374" s="32">
        <f>AW374+AX374</f>
        <v>0</v>
      </c>
      <c r="BD374" s="32">
        <f>H374/(100-BE374)*100</f>
        <v>0</v>
      </c>
      <c r="BE374" s="32">
        <v>0</v>
      </c>
      <c r="BF374" s="32">
        <f>372</f>
        <v>372</v>
      </c>
      <c r="BH374" s="15">
        <f>G374*AO374</f>
        <v>0</v>
      </c>
      <c r="BI374" s="15">
        <f>G374*AP374</f>
        <v>0</v>
      </c>
      <c r="BJ374" s="15">
        <f>G374*H374</f>
        <v>0</v>
      </c>
    </row>
    <row r="375" spans="1:62" x14ac:dyDescent="0.2">
      <c r="A375" s="7"/>
      <c r="B375" s="7"/>
      <c r="C375" s="62" t="s">
        <v>606</v>
      </c>
      <c r="D375" s="63"/>
      <c r="E375" s="63"/>
      <c r="F375" s="7"/>
      <c r="G375" s="18">
        <v>25.962</v>
      </c>
      <c r="H375" s="7"/>
      <c r="I375" s="7"/>
      <c r="J375" s="7"/>
      <c r="K375" s="7"/>
      <c r="L375" s="7"/>
    </row>
    <row r="376" spans="1:62" x14ac:dyDescent="0.2">
      <c r="A376" s="8"/>
      <c r="B376" s="8"/>
      <c r="C376" s="8"/>
      <c r="D376" s="8"/>
      <c r="E376" s="8"/>
      <c r="F376" s="8"/>
      <c r="G376" s="8"/>
      <c r="H376" s="8"/>
      <c r="I376" s="64" t="s">
        <v>631</v>
      </c>
      <c r="J376" s="65"/>
      <c r="K376" s="36">
        <f>K12+K15+K18+K24+K32+K35+K37+K40+K45+K137+K141+K175+K187+K190+K215+K225+K232+K255+K258+K280+K289+K292+K308+K322+K348+K351+K354+K357</f>
        <v>0</v>
      </c>
      <c r="L376" s="8"/>
    </row>
    <row r="377" spans="1:62" ht="11.25" customHeight="1" x14ac:dyDescent="0.2">
      <c r="A377" s="9" t="s">
        <v>131</v>
      </c>
    </row>
    <row r="378" spans="1:62" x14ac:dyDescent="0.2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</row>
  </sheetData>
  <mergeCells count="394">
    <mergeCell ref="A1:L1"/>
    <mergeCell ref="A2:B3"/>
    <mergeCell ref="C2:C3"/>
    <mergeCell ref="D2:E3"/>
    <mergeCell ref="F2:G3"/>
    <mergeCell ref="H2:H3"/>
    <mergeCell ref="I2:L3"/>
    <mergeCell ref="A6:B7"/>
    <mergeCell ref="C6:C7"/>
    <mergeCell ref="D6:E7"/>
    <mergeCell ref="F6:G7"/>
    <mergeCell ref="H6:H7"/>
    <mergeCell ref="I6:L7"/>
    <mergeCell ref="A4:B5"/>
    <mergeCell ref="C4:C5"/>
    <mergeCell ref="D4:E5"/>
    <mergeCell ref="F4:G5"/>
    <mergeCell ref="H4:H5"/>
    <mergeCell ref="I4:L5"/>
    <mergeCell ref="C10:E10"/>
    <mergeCell ref="I10:K10"/>
    <mergeCell ref="C11:E11"/>
    <mergeCell ref="C12:E12"/>
    <mergeCell ref="C13:E13"/>
    <mergeCell ref="C14:E14"/>
    <mergeCell ref="A8:B9"/>
    <mergeCell ref="C8:C9"/>
    <mergeCell ref="D8:E9"/>
    <mergeCell ref="F8:G9"/>
    <mergeCell ref="H8:H9"/>
    <mergeCell ref="I8:L9"/>
    <mergeCell ref="C21:E21"/>
    <mergeCell ref="C22:E22"/>
    <mergeCell ref="C23:E23"/>
    <mergeCell ref="C24:E24"/>
    <mergeCell ref="C25:E25"/>
    <mergeCell ref="C26:E26"/>
    <mergeCell ref="C15:E15"/>
    <mergeCell ref="C16:E16"/>
    <mergeCell ref="C17:E17"/>
    <mergeCell ref="C18:E18"/>
    <mergeCell ref="C19:E19"/>
    <mergeCell ref="C20:E20"/>
    <mergeCell ref="C33:E33"/>
    <mergeCell ref="C34:E34"/>
    <mergeCell ref="C37:E37"/>
    <mergeCell ref="C38:E38"/>
    <mergeCell ref="C39:E39"/>
    <mergeCell ref="C40:E40"/>
    <mergeCell ref="C27:E27"/>
    <mergeCell ref="C28:E28"/>
    <mergeCell ref="C29:E29"/>
    <mergeCell ref="C30:E30"/>
    <mergeCell ref="C31:E31"/>
    <mergeCell ref="C32:E32"/>
    <mergeCell ref="C35:E35"/>
    <mergeCell ref="C36:E36"/>
    <mergeCell ref="C47:E47"/>
    <mergeCell ref="C48:E48"/>
    <mergeCell ref="C49:E49"/>
    <mergeCell ref="C50:E50"/>
    <mergeCell ref="C51:E51"/>
    <mergeCell ref="C52:E52"/>
    <mergeCell ref="C41:E41"/>
    <mergeCell ref="C42:E42"/>
    <mergeCell ref="C43:E43"/>
    <mergeCell ref="C44:E44"/>
    <mergeCell ref="C45:E45"/>
    <mergeCell ref="C46:E46"/>
    <mergeCell ref="C59:E59"/>
    <mergeCell ref="C60:E60"/>
    <mergeCell ref="C61:E61"/>
    <mergeCell ref="C62:E62"/>
    <mergeCell ref="C63:E63"/>
    <mergeCell ref="C64:E64"/>
    <mergeCell ref="C53:E53"/>
    <mergeCell ref="C54:E54"/>
    <mergeCell ref="C55:E55"/>
    <mergeCell ref="C56:E56"/>
    <mergeCell ref="C57:E57"/>
    <mergeCell ref="C58:E58"/>
    <mergeCell ref="C71:E71"/>
    <mergeCell ref="C72:E72"/>
    <mergeCell ref="C73:E73"/>
    <mergeCell ref="C74:E74"/>
    <mergeCell ref="C75:E75"/>
    <mergeCell ref="C76:E76"/>
    <mergeCell ref="C65:E65"/>
    <mergeCell ref="C66:E66"/>
    <mergeCell ref="C67:E67"/>
    <mergeCell ref="C68:E68"/>
    <mergeCell ref="C69:E69"/>
    <mergeCell ref="C70:E70"/>
    <mergeCell ref="C83:E83"/>
    <mergeCell ref="C84:E84"/>
    <mergeCell ref="C85:E85"/>
    <mergeCell ref="C86:E86"/>
    <mergeCell ref="C87:E87"/>
    <mergeCell ref="C88:E88"/>
    <mergeCell ref="C77:E77"/>
    <mergeCell ref="C78:E78"/>
    <mergeCell ref="C79:E79"/>
    <mergeCell ref="C80:E80"/>
    <mergeCell ref="C81:E81"/>
    <mergeCell ref="C82:E82"/>
    <mergeCell ref="C95:E95"/>
    <mergeCell ref="C96:E96"/>
    <mergeCell ref="C97:E97"/>
    <mergeCell ref="C98:E98"/>
    <mergeCell ref="C99:E99"/>
    <mergeCell ref="C100:E100"/>
    <mergeCell ref="C89:E89"/>
    <mergeCell ref="C90:E90"/>
    <mergeCell ref="C91:E91"/>
    <mergeCell ref="C92:E92"/>
    <mergeCell ref="C93:E93"/>
    <mergeCell ref="C94:E94"/>
    <mergeCell ref="C107:E107"/>
    <mergeCell ref="C108:E108"/>
    <mergeCell ref="C109:E109"/>
    <mergeCell ref="C110:E110"/>
    <mergeCell ref="C111:E111"/>
    <mergeCell ref="C112:E112"/>
    <mergeCell ref="C101:E101"/>
    <mergeCell ref="C102:E102"/>
    <mergeCell ref="C103:E103"/>
    <mergeCell ref="C104:E104"/>
    <mergeCell ref="C105:E105"/>
    <mergeCell ref="C106:E106"/>
    <mergeCell ref="C119:E119"/>
    <mergeCell ref="C120:E120"/>
    <mergeCell ref="C121:E121"/>
    <mergeCell ref="C122:E122"/>
    <mergeCell ref="C123:E123"/>
    <mergeCell ref="C124:E124"/>
    <mergeCell ref="C113:E113"/>
    <mergeCell ref="C114:E114"/>
    <mergeCell ref="C115:E115"/>
    <mergeCell ref="C116:E116"/>
    <mergeCell ref="C117:E117"/>
    <mergeCell ref="C118:E118"/>
    <mergeCell ref="C131:E131"/>
    <mergeCell ref="C132:E132"/>
    <mergeCell ref="C133:E133"/>
    <mergeCell ref="C134:E134"/>
    <mergeCell ref="C135:E135"/>
    <mergeCell ref="C136:E136"/>
    <mergeCell ref="C125:E125"/>
    <mergeCell ref="C126:E126"/>
    <mergeCell ref="C127:E127"/>
    <mergeCell ref="C128:E128"/>
    <mergeCell ref="C129:E129"/>
    <mergeCell ref="C130:E130"/>
    <mergeCell ref="C143:E143"/>
    <mergeCell ref="C144:E144"/>
    <mergeCell ref="C145:E145"/>
    <mergeCell ref="C146:E146"/>
    <mergeCell ref="C147:E147"/>
    <mergeCell ref="C148:E148"/>
    <mergeCell ref="C137:E137"/>
    <mergeCell ref="C138:E138"/>
    <mergeCell ref="C139:E139"/>
    <mergeCell ref="C140:E140"/>
    <mergeCell ref="C141:E141"/>
    <mergeCell ref="C142:E142"/>
    <mergeCell ref="C155:E155"/>
    <mergeCell ref="C156:E156"/>
    <mergeCell ref="C157:E157"/>
    <mergeCell ref="C158:E158"/>
    <mergeCell ref="C159:E159"/>
    <mergeCell ref="C160:E160"/>
    <mergeCell ref="C149:E149"/>
    <mergeCell ref="C150:E150"/>
    <mergeCell ref="C151:E151"/>
    <mergeCell ref="C152:E152"/>
    <mergeCell ref="C153:E153"/>
    <mergeCell ref="C154:E154"/>
    <mergeCell ref="C167:E167"/>
    <mergeCell ref="C168:E168"/>
    <mergeCell ref="C169:E169"/>
    <mergeCell ref="C170:E170"/>
    <mergeCell ref="C171:E171"/>
    <mergeCell ref="C172:E172"/>
    <mergeCell ref="C161:E161"/>
    <mergeCell ref="C162:E162"/>
    <mergeCell ref="C163:E163"/>
    <mergeCell ref="C164:E164"/>
    <mergeCell ref="C165:E165"/>
    <mergeCell ref="C166:E166"/>
    <mergeCell ref="C179:E179"/>
    <mergeCell ref="C180:E180"/>
    <mergeCell ref="C181:E181"/>
    <mergeCell ref="C182:E182"/>
    <mergeCell ref="C183:E183"/>
    <mergeCell ref="C184:E184"/>
    <mergeCell ref="C173:E173"/>
    <mergeCell ref="C174:E174"/>
    <mergeCell ref="C175:E175"/>
    <mergeCell ref="C176:E176"/>
    <mergeCell ref="C177:E177"/>
    <mergeCell ref="C178:E178"/>
    <mergeCell ref="C191:E191"/>
    <mergeCell ref="C192:E192"/>
    <mergeCell ref="C193:E193"/>
    <mergeCell ref="C194:E194"/>
    <mergeCell ref="C195:E195"/>
    <mergeCell ref="C196:E196"/>
    <mergeCell ref="C185:E185"/>
    <mergeCell ref="C186:E186"/>
    <mergeCell ref="C187:E187"/>
    <mergeCell ref="C188:E188"/>
    <mergeCell ref="C189:E189"/>
    <mergeCell ref="C190:E190"/>
    <mergeCell ref="C203:E203"/>
    <mergeCell ref="C204:E204"/>
    <mergeCell ref="C205:E205"/>
    <mergeCell ref="C206:E206"/>
    <mergeCell ref="C207:E207"/>
    <mergeCell ref="C208:E208"/>
    <mergeCell ref="C197:E197"/>
    <mergeCell ref="C198:E198"/>
    <mergeCell ref="C199:E199"/>
    <mergeCell ref="C200:E200"/>
    <mergeCell ref="C201:E201"/>
    <mergeCell ref="C202:E202"/>
    <mergeCell ref="C215:E215"/>
    <mergeCell ref="C216:E216"/>
    <mergeCell ref="C217:E217"/>
    <mergeCell ref="C218:E218"/>
    <mergeCell ref="C219:E219"/>
    <mergeCell ref="C220:E220"/>
    <mergeCell ref="C209:E209"/>
    <mergeCell ref="C210:E210"/>
    <mergeCell ref="C211:E211"/>
    <mergeCell ref="C212:E212"/>
    <mergeCell ref="C213:E213"/>
    <mergeCell ref="C214:E214"/>
    <mergeCell ref="C227:E227"/>
    <mergeCell ref="C228:E228"/>
    <mergeCell ref="C229:E229"/>
    <mergeCell ref="C230:E230"/>
    <mergeCell ref="C231:E231"/>
    <mergeCell ref="C232:E232"/>
    <mergeCell ref="C221:E221"/>
    <mergeCell ref="C222:E222"/>
    <mergeCell ref="C223:E223"/>
    <mergeCell ref="C224:E224"/>
    <mergeCell ref="C225:E225"/>
    <mergeCell ref="C226:E226"/>
    <mergeCell ref="C239:E239"/>
    <mergeCell ref="C240:E240"/>
    <mergeCell ref="C241:E241"/>
    <mergeCell ref="C242:E242"/>
    <mergeCell ref="C243:E243"/>
    <mergeCell ref="C244:E244"/>
    <mergeCell ref="C233:E233"/>
    <mergeCell ref="C234:E234"/>
    <mergeCell ref="C235:E235"/>
    <mergeCell ref="C236:E236"/>
    <mergeCell ref="C237:E237"/>
    <mergeCell ref="C238:E238"/>
    <mergeCell ref="C251:E251"/>
    <mergeCell ref="C252:E252"/>
    <mergeCell ref="C253:E253"/>
    <mergeCell ref="C254:E254"/>
    <mergeCell ref="C255:E255"/>
    <mergeCell ref="C256:E256"/>
    <mergeCell ref="C245:E245"/>
    <mergeCell ref="C246:E246"/>
    <mergeCell ref="C247:E247"/>
    <mergeCell ref="C248:E248"/>
    <mergeCell ref="C249:E249"/>
    <mergeCell ref="C250:E250"/>
    <mergeCell ref="C263:E263"/>
    <mergeCell ref="C264:E264"/>
    <mergeCell ref="C265:E265"/>
    <mergeCell ref="C266:E266"/>
    <mergeCell ref="C267:E267"/>
    <mergeCell ref="C268:E268"/>
    <mergeCell ref="C257:E257"/>
    <mergeCell ref="C258:E258"/>
    <mergeCell ref="C259:E259"/>
    <mergeCell ref="C260:E260"/>
    <mergeCell ref="C261:E261"/>
    <mergeCell ref="C262:E262"/>
    <mergeCell ref="C275:E275"/>
    <mergeCell ref="C276:E276"/>
    <mergeCell ref="C277:E277"/>
    <mergeCell ref="C278:E278"/>
    <mergeCell ref="C279:E279"/>
    <mergeCell ref="C280:E280"/>
    <mergeCell ref="C269:E269"/>
    <mergeCell ref="C270:E270"/>
    <mergeCell ref="C271:E271"/>
    <mergeCell ref="C272:E272"/>
    <mergeCell ref="C273:E273"/>
    <mergeCell ref="C274:E274"/>
    <mergeCell ref="C287:E287"/>
    <mergeCell ref="C288:E288"/>
    <mergeCell ref="C289:E289"/>
    <mergeCell ref="C290:E290"/>
    <mergeCell ref="C291:E291"/>
    <mergeCell ref="C292:E292"/>
    <mergeCell ref="C281:E281"/>
    <mergeCell ref="C282:E282"/>
    <mergeCell ref="C283:E283"/>
    <mergeCell ref="C284:E284"/>
    <mergeCell ref="C285:E285"/>
    <mergeCell ref="C286:E286"/>
    <mergeCell ref="C299:E299"/>
    <mergeCell ref="C300:E300"/>
    <mergeCell ref="C301:E301"/>
    <mergeCell ref="C302:E302"/>
    <mergeCell ref="C303:E303"/>
    <mergeCell ref="C304:E304"/>
    <mergeCell ref="C293:E293"/>
    <mergeCell ref="C294:E294"/>
    <mergeCell ref="C295:E295"/>
    <mergeCell ref="C296:E296"/>
    <mergeCell ref="C297:E297"/>
    <mergeCell ref="C298:E298"/>
    <mergeCell ref="C311:E311"/>
    <mergeCell ref="C312:E312"/>
    <mergeCell ref="C313:E313"/>
    <mergeCell ref="C314:E314"/>
    <mergeCell ref="C315:E315"/>
    <mergeCell ref="C316:E316"/>
    <mergeCell ref="C305:E305"/>
    <mergeCell ref="C306:E306"/>
    <mergeCell ref="C307:E307"/>
    <mergeCell ref="C308:E308"/>
    <mergeCell ref="C309:E309"/>
    <mergeCell ref="C310:E310"/>
    <mergeCell ref="C323:E323"/>
    <mergeCell ref="C324:E324"/>
    <mergeCell ref="C325:E325"/>
    <mergeCell ref="C326:E326"/>
    <mergeCell ref="C327:E327"/>
    <mergeCell ref="C328:E328"/>
    <mergeCell ref="C317:E317"/>
    <mergeCell ref="C318:E318"/>
    <mergeCell ref="C319:E319"/>
    <mergeCell ref="C320:E320"/>
    <mergeCell ref="C321:E321"/>
    <mergeCell ref="C322:E322"/>
    <mergeCell ref="C335:E335"/>
    <mergeCell ref="C336:E336"/>
    <mergeCell ref="C337:E337"/>
    <mergeCell ref="C338:E338"/>
    <mergeCell ref="C339:E339"/>
    <mergeCell ref="C340:E340"/>
    <mergeCell ref="C329:E329"/>
    <mergeCell ref="C330:E330"/>
    <mergeCell ref="C331:E331"/>
    <mergeCell ref="C332:E332"/>
    <mergeCell ref="C333:E333"/>
    <mergeCell ref="C334:E334"/>
    <mergeCell ref="C347:E347"/>
    <mergeCell ref="C348:E348"/>
    <mergeCell ref="C349:E349"/>
    <mergeCell ref="C350:E350"/>
    <mergeCell ref="C351:E351"/>
    <mergeCell ref="C352:E352"/>
    <mergeCell ref="C341:E341"/>
    <mergeCell ref="C342:E342"/>
    <mergeCell ref="C343:E343"/>
    <mergeCell ref="C344:E344"/>
    <mergeCell ref="C345:E345"/>
    <mergeCell ref="C346:E346"/>
    <mergeCell ref="C359:E359"/>
    <mergeCell ref="C360:E360"/>
    <mergeCell ref="C361:E361"/>
    <mergeCell ref="C362:E362"/>
    <mergeCell ref="C363:E363"/>
    <mergeCell ref="C364:E364"/>
    <mergeCell ref="C353:E353"/>
    <mergeCell ref="C354:E354"/>
    <mergeCell ref="C355:E355"/>
    <mergeCell ref="C356:E356"/>
    <mergeCell ref="C357:E357"/>
    <mergeCell ref="C358:E358"/>
    <mergeCell ref="A378:L378"/>
    <mergeCell ref="C371:E371"/>
    <mergeCell ref="C372:E372"/>
    <mergeCell ref="C373:E373"/>
    <mergeCell ref="C374:E374"/>
    <mergeCell ref="C375:E375"/>
    <mergeCell ref="I376:J376"/>
    <mergeCell ref="C365:E365"/>
    <mergeCell ref="C366:E366"/>
    <mergeCell ref="C367:E367"/>
    <mergeCell ref="C368:E368"/>
    <mergeCell ref="C369:E369"/>
    <mergeCell ref="C370:E370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7"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53"/>
      <c r="B1" s="7"/>
      <c r="C1" s="121" t="s">
        <v>700</v>
      </c>
      <c r="D1" s="88"/>
      <c r="E1" s="88"/>
      <c r="F1" s="88"/>
      <c r="G1" s="88"/>
      <c r="H1" s="88"/>
      <c r="I1" s="88"/>
    </row>
    <row r="2" spans="1:10" x14ac:dyDescent="0.2">
      <c r="A2" s="89" t="s">
        <v>1</v>
      </c>
      <c r="B2" s="90"/>
      <c r="C2" s="92" t="str">
        <f>'Stavební rozpočet'!C2</f>
        <v>SNÍŽENÍ ENERGETICKÉ NÁROČNOSTI BUDOVY 3. ZÁKLADNÍ ŠKOLY, CHEB</v>
      </c>
      <c r="D2" s="65"/>
      <c r="E2" s="95" t="s">
        <v>620</v>
      </c>
      <c r="F2" s="95" t="str">
        <f>'Stavební rozpočet'!I2</f>
        <v>Město Cheb</v>
      </c>
      <c r="G2" s="90"/>
      <c r="H2" s="95" t="s">
        <v>725</v>
      </c>
      <c r="I2" s="122"/>
      <c r="J2" s="30"/>
    </row>
    <row r="3" spans="1:10" ht="25.7" customHeight="1" x14ac:dyDescent="0.2">
      <c r="A3" s="91"/>
      <c r="B3" s="57"/>
      <c r="C3" s="93"/>
      <c r="D3" s="93"/>
      <c r="E3" s="57"/>
      <c r="F3" s="57"/>
      <c r="G3" s="57"/>
      <c r="H3" s="57"/>
      <c r="I3" s="85"/>
      <c r="J3" s="30"/>
    </row>
    <row r="4" spans="1:10" x14ac:dyDescent="0.2">
      <c r="A4" s="81" t="s">
        <v>2</v>
      </c>
      <c r="B4" s="57"/>
      <c r="C4" s="56" t="str">
        <f>'Stavební rozpočet'!C4</f>
        <v>Objekt 4 - stravování</v>
      </c>
      <c r="D4" s="57"/>
      <c r="E4" s="56" t="s">
        <v>621</v>
      </c>
      <c r="F4" s="56" t="str">
        <f>'Stavební rozpočet'!I4</f>
        <v>Kamila Možná</v>
      </c>
      <c r="G4" s="57"/>
      <c r="H4" s="56" t="s">
        <v>725</v>
      </c>
      <c r="I4" s="118"/>
      <c r="J4" s="30"/>
    </row>
    <row r="5" spans="1:10" x14ac:dyDescent="0.2">
      <c r="A5" s="91"/>
      <c r="B5" s="57"/>
      <c r="C5" s="57"/>
      <c r="D5" s="57"/>
      <c r="E5" s="57"/>
      <c r="F5" s="57"/>
      <c r="G5" s="57"/>
      <c r="H5" s="57"/>
      <c r="I5" s="85"/>
      <c r="J5" s="30"/>
    </row>
    <row r="6" spans="1:10" x14ac:dyDescent="0.2">
      <c r="A6" s="81" t="s">
        <v>3</v>
      </c>
      <c r="B6" s="57"/>
      <c r="C6" s="56" t="str">
        <f>'Stavební rozpočet'!C6</f>
        <v>Malé Náměstí 2287/3, 350 02 Cheb</v>
      </c>
      <c r="D6" s="57"/>
      <c r="E6" s="56" t="s">
        <v>622</v>
      </c>
      <c r="F6" s="56" t="str">
        <f>'Stavební rozpočet'!I6</f>
        <v>Dle výběrového řízení</v>
      </c>
      <c r="G6" s="57"/>
      <c r="H6" s="56" t="s">
        <v>725</v>
      </c>
      <c r="I6" s="118"/>
      <c r="J6" s="30"/>
    </row>
    <row r="7" spans="1:10" x14ac:dyDescent="0.2">
      <c r="A7" s="91"/>
      <c r="B7" s="57"/>
      <c r="C7" s="57"/>
      <c r="D7" s="57"/>
      <c r="E7" s="57"/>
      <c r="F7" s="57"/>
      <c r="G7" s="57"/>
      <c r="H7" s="57"/>
      <c r="I7" s="85"/>
      <c r="J7" s="30"/>
    </row>
    <row r="8" spans="1:10" x14ac:dyDescent="0.2">
      <c r="A8" s="81" t="s">
        <v>608</v>
      </c>
      <c r="B8" s="57"/>
      <c r="C8" s="56" t="str">
        <f>'Stavební rozpočet'!F4</f>
        <v xml:space="preserve"> </v>
      </c>
      <c r="D8" s="57"/>
      <c r="E8" s="56" t="s">
        <v>609</v>
      </c>
      <c r="F8" s="56" t="str">
        <f>'Stavební rozpočet'!F6</f>
        <v xml:space="preserve"> </v>
      </c>
      <c r="G8" s="57"/>
      <c r="H8" s="84" t="s">
        <v>726</v>
      </c>
      <c r="I8" s="118" t="s">
        <v>130</v>
      </c>
      <c r="J8" s="30"/>
    </row>
    <row r="9" spans="1:10" x14ac:dyDescent="0.2">
      <c r="A9" s="91"/>
      <c r="B9" s="57"/>
      <c r="C9" s="57"/>
      <c r="D9" s="57"/>
      <c r="E9" s="57"/>
      <c r="F9" s="57"/>
      <c r="G9" s="57"/>
      <c r="H9" s="57"/>
      <c r="I9" s="85"/>
      <c r="J9" s="30"/>
    </row>
    <row r="10" spans="1:10" x14ac:dyDescent="0.2">
      <c r="A10" s="81" t="s">
        <v>4</v>
      </c>
      <c r="B10" s="57"/>
      <c r="C10" s="56" t="str">
        <f>'Stavební rozpočet'!C8</f>
        <v xml:space="preserve"> </v>
      </c>
      <c r="D10" s="57"/>
      <c r="E10" s="56" t="s">
        <v>623</v>
      </c>
      <c r="F10" s="56" t="str">
        <f>'Stavební rozpočet'!I8</f>
        <v>Kamila Možná</v>
      </c>
      <c r="G10" s="57"/>
      <c r="H10" s="84" t="s">
        <v>727</v>
      </c>
      <c r="I10" s="116" t="str">
        <f>'Stavební rozpočet'!F8</f>
        <v>15.10.2019</v>
      </c>
      <c r="J10" s="30"/>
    </row>
    <row r="11" spans="1:10" x14ac:dyDescent="0.2">
      <c r="A11" s="119"/>
      <c r="B11" s="120"/>
      <c r="C11" s="120"/>
      <c r="D11" s="120"/>
      <c r="E11" s="120"/>
      <c r="F11" s="120"/>
      <c r="G11" s="120"/>
      <c r="H11" s="120"/>
      <c r="I11" s="117"/>
      <c r="J11" s="30"/>
    </row>
    <row r="12" spans="1:10" ht="23.45" customHeight="1" x14ac:dyDescent="0.2">
      <c r="A12" s="112" t="s">
        <v>685</v>
      </c>
      <c r="B12" s="113"/>
      <c r="C12" s="113"/>
      <c r="D12" s="113"/>
      <c r="E12" s="113"/>
      <c r="F12" s="113"/>
      <c r="G12" s="113"/>
      <c r="H12" s="113"/>
      <c r="I12" s="113"/>
    </row>
    <row r="13" spans="1:10" ht="26.45" customHeight="1" x14ac:dyDescent="0.2">
      <c r="A13" s="37" t="s">
        <v>686</v>
      </c>
      <c r="B13" s="114" t="s">
        <v>698</v>
      </c>
      <c r="C13" s="115"/>
      <c r="D13" s="37" t="s">
        <v>701</v>
      </c>
      <c r="E13" s="114" t="s">
        <v>710</v>
      </c>
      <c r="F13" s="115"/>
      <c r="G13" s="37" t="s">
        <v>711</v>
      </c>
      <c r="H13" s="114" t="s">
        <v>728</v>
      </c>
      <c r="I13" s="115"/>
      <c r="J13" s="30"/>
    </row>
    <row r="14" spans="1:10" ht="15.2" customHeight="1" x14ac:dyDescent="0.2">
      <c r="A14" s="38" t="s">
        <v>687</v>
      </c>
      <c r="B14" s="42" t="s">
        <v>699</v>
      </c>
      <c r="C14" s="46">
        <f>SUM('Stavební rozpočet'!AB12:AB375)</f>
        <v>0</v>
      </c>
      <c r="D14" s="110" t="s">
        <v>702</v>
      </c>
      <c r="E14" s="111"/>
      <c r="F14" s="46">
        <v>0</v>
      </c>
      <c r="G14" s="110" t="s">
        <v>712</v>
      </c>
      <c r="H14" s="111"/>
      <c r="I14" s="46">
        <v>0</v>
      </c>
      <c r="J14" s="30"/>
    </row>
    <row r="15" spans="1:10" ht="15.2" customHeight="1" x14ac:dyDescent="0.2">
      <c r="A15" s="39"/>
      <c r="B15" s="42" t="s">
        <v>632</v>
      </c>
      <c r="C15" s="46">
        <f>SUM('Stavební rozpočet'!AC12:AC375)</f>
        <v>0</v>
      </c>
      <c r="D15" s="110" t="s">
        <v>703</v>
      </c>
      <c r="E15" s="111"/>
      <c r="F15" s="46">
        <v>0</v>
      </c>
      <c r="G15" s="110" t="s">
        <v>713</v>
      </c>
      <c r="H15" s="111"/>
      <c r="I15" s="46">
        <v>0</v>
      </c>
      <c r="J15" s="30"/>
    </row>
    <row r="16" spans="1:10" ht="15.2" customHeight="1" x14ac:dyDescent="0.2">
      <c r="A16" s="38" t="s">
        <v>688</v>
      </c>
      <c r="B16" s="42" t="s">
        <v>699</v>
      </c>
      <c r="C16" s="46">
        <f>SUM('Stavební rozpočet'!AD12:AD375)</f>
        <v>0</v>
      </c>
      <c r="D16" s="110" t="s">
        <v>704</v>
      </c>
      <c r="E16" s="111"/>
      <c r="F16" s="46">
        <v>0</v>
      </c>
      <c r="G16" s="110" t="s">
        <v>714</v>
      </c>
      <c r="H16" s="111"/>
      <c r="I16" s="46">
        <v>0</v>
      </c>
      <c r="J16" s="30"/>
    </row>
    <row r="17" spans="1:10" ht="15.2" customHeight="1" x14ac:dyDescent="0.2">
      <c r="A17" s="39"/>
      <c r="B17" s="42" t="s">
        <v>632</v>
      </c>
      <c r="C17" s="46">
        <f>SUM('Stavební rozpočet'!AE12:AE375)</f>
        <v>0</v>
      </c>
      <c r="D17" s="110"/>
      <c r="E17" s="111"/>
      <c r="F17" s="47"/>
      <c r="G17" s="110" t="s">
        <v>715</v>
      </c>
      <c r="H17" s="111"/>
      <c r="I17" s="46">
        <v>0</v>
      </c>
      <c r="J17" s="30"/>
    </row>
    <row r="18" spans="1:10" ht="15.2" customHeight="1" x14ac:dyDescent="0.2">
      <c r="A18" s="38" t="s">
        <v>689</v>
      </c>
      <c r="B18" s="42" t="s">
        <v>699</v>
      </c>
      <c r="C18" s="46">
        <f>SUM('Stavební rozpočet'!AF12:AF375)</f>
        <v>0</v>
      </c>
      <c r="D18" s="110"/>
      <c r="E18" s="111"/>
      <c r="F18" s="47"/>
      <c r="G18" s="110" t="s">
        <v>716</v>
      </c>
      <c r="H18" s="111"/>
      <c r="I18" s="46">
        <v>0</v>
      </c>
      <c r="J18" s="30"/>
    </row>
    <row r="19" spans="1:10" ht="15.2" customHeight="1" x14ac:dyDescent="0.2">
      <c r="A19" s="39"/>
      <c r="B19" s="42" t="s">
        <v>632</v>
      </c>
      <c r="C19" s="46">
        <f>SUM('Stavební rozpočet'!AG12:AG375)</f>
        <v>0</v>
      </c>
      <c r="D19" s="110"/>
      <c r="E19" s="111"/>
      <c r="F19" s="47"/>
      <c r="G19" s="110" t="s">
        <v>717</v>
      </c>
      <c r="H19" s="111"/>
      <c r="I19" s="46">
        <v>0</v>
      </c>
      <c r="J19" s="30"/>
    </row>
    <row r="20" spans="1:10" ht="15.2" customHeight="1" x14ac:dyDescent="0.2">
      <c r="A20" s="108" t="s">
        <v>690</v>
      </c>
      <c r="B20" s="109"/>
      <c r="C20" s="46">
        <f>SUM('Stavební rozpočet'!AH12:AH375)</f>
        <v>0</v>
      </c>
      <c r="D20" s="110"/>
      <c r="E20" s="111"/>
      <c r="F20" s="47"/>
      <c r="G20" s="110"/>
      <c r="H20" s="111"/>
      <c r="I20" s="47"/>
      <c r="J20" s="30"/>
    </row>
    <row r="21" spans="1:10" ht="15.2" customHeight="1" x14ac:dyDescent="0.2">
      <c r="A21" s="108" t="s">
        <v>691</v>
      </c>
      <c r="B21" s="109"/>
      <c r="C21" s="46">
        <f>SUM('Stavební rozpočet'!Z12:Z375)</f>
        <v>0</v>
      </c>
      <c r="D21" s="110"/>
      <c r="E21" s="111"/>
      <c r="F21" s="47"/>
      <c r="G21" s="110"/>
      <c r="H21" s="111"/>
      <c r="I21" s="47"/>
      <c r="J21" s="30"/>
    </row>
    <row r="22" spans="1:10" ht="16.7" customHeight="1" x14ac:dyDescent="0.2">
      <c r="A22" s="108" t="s">
        <v>692</v>
      </c>
      <c r="B22" s="109"/>
      <c r="C22" s="46">
        <f>SUM(C14:C21)</f>
        <v>0</v>
      </c>
      <c r="D22" s="108" t="s">
        <v>705</v>
      </c>
      <c r="E22" s="109"/>
      <c r="F22" s="46">
        <f>SUM(F14:F21)</f>
        <v>0</v>
      </c>
      <c r="G22" s="108" t="s">
        <v>718</v>
      </c>
      <c r="H22" s="109"/>
      <c r="I22" s="46">
        <f>SUM(I14:I21)</f>
        <v>0</v>
      </c>
      <c r="J22" s="30"/>
    </row>
    <row r="23" spans="1:10" ht="15.2" customHeight="1" x14ac:dyDescent="0.2">
      <c r="A23" s="8"/>
      <c r="B23" s="8"/>
      <c r="C23" s="44"/>
      <c r="D23" s="108" t="s">
        <v>706</v>
      </c>
      <c r="E23" s="109"/>
      <c r="F23" s="48">
        <v>0</v>
      </c>
      <c r="G23" s="108" t="s">
        <v>719</v>
      </c>
      <c r="H23" s="109"/>
      <c r="I23" s="46">
        <v>0</v>
      </c>
      <c r="J23" s="30"/>
    </row>
    <row r="24" spans="1:10" ht="15.2" customHeight="1" x14ac:dyDescent="0.2">
      <c r="D24" s="8"/>
      <c r="E24" s="8"/>
      <c r="F24" s="49"/>
      <c r="G24" s="108" t="s">
        <v>720</v>
      </c>
      <c r="H24" s="109"/>
      <c r="I24" s="51"/>
    </row>
    <row r="25" spans="1:10" ht="15.2" customHeight="1" x14ac:dyDescent="0.2">
      <c r="F25" s="50"/>
      <c r="G25" s="108" t="s">
        <v>721</v>
      </c>
      <c r="H25" s="109"/>
      <c r="I25" s="46">
        <v>0</v>
      </c>
      <c r="J25" s="30"/>
    </row>
    <row r="26" spans="1:10" x14ac:dyDescent="0.2">
      <c r="A26" s="7"/>
      <c r="B26" s="7"/>
      <c r="C26" s="7"/>
      <c r="G26" s="8"/>
      <c r="H26" s="8"/>
      <c r="I26" s="8"/>
    </row>
    <row r="27" spans="1:10" ht="15.2" customHeight="1" x14ac:dyDescent="0.2">
      <c r="A27" s="103" t="s">
        <v>693</v>
      </c>
      <c r="B27" s="104"/>
      <c r="C27" s="52">
        <f>SUM('Stavební rozpočet'!AJ12:AJ375)</f>
        <v>0</v>
      </c>
      <c r="D27" s="45"/>
      <c r="E27" s="7"/>
      <c r="F27" s="7"/>
      <c r="G27" s="7"/>
      <c r="H27" s="7"/>
      <c r="I27" s="7"/>
    </row>
    <row r="28" spans="1:10" ht="15.2" customHeight="1" x14ac:dyDescent="0.2">
      <c r="A28" s="103" t="s">
        <v>694</v>
      </c>
      <c r="B28" s="104"/>
      <c r="C28" s="52">
        <f>SUM('Stavební rozpočet'!AK12:AK375)</f>
        <v>0</v>
      </c>
      <c r="D28" s="103" t="s">
        <v>707</v>
      </c>
      <c r="E28" s="104"/>
      <c r="F28" s="52">
        <f>ROUND(C28*(15/100),2)</f>
        <v>0</v>
      </c>
      <c r="G28" s="103" t="s">
        <v>722</v>
      </c>
      <c r="H28" s="104"/>
      <c r="I28" s="52">
        <f>SUM(C27:C29)</f>
        <v>0</v>
      </c>
      <c r="J28" s="30"/>
    </row>
    <row r="29" spans="1:10" ht="15.2" customHeight="1" x14ac:dyDescent="0.2">
      <c r="A29" s="103" t="s">
        <v>695</v>
      </c>
      <c r="B29" s="104"/>
      <c r="C29" s="52">
        <f>SUM('Stavební rozpočet'!AL12:AL375)+(F22+I22+F23+I23+I24+I25)</f>
        <v>0</v>
      </c>
      <c r="D29" s="103" t="s">
        <v>708</v>
      </c>
      <c r="E29" s="104"/>
      <c r="F29" s="52">
        <f>ROUND(C29*(21/100),2)</f>
        <v>0</v>
      </c>
      <c r="G29" s="103" t="s">
        <v>723</v>
      </c>
      <c r="H29" s="104"/>
      <c r="I29" s="52">
        <f>SUM(F28:F29)+I28</f>
        <v>0</v>
      </c>
      <c r="J29" s="30"/>
    </row>
    <row r="30" spans="1:10" x14ac:dyDescent="0.2">
      <c r="A30" s="40"/>
      <c r="B30" s="40"/>
      <c r="C30" s="40"/>
      <c r="D30" s="40"/>
      <c r="E30" s="40"/>
      <c r="F30" s="40"/>
      <c r="G30" s="40"/>
      <c r="H30" s="40"/>
      <c r="I30" s="40"/>
    </row>
    <row r="31" spans="1:10" ht="14.45" customHeight="1" x14ac:dyDescent="0.2">
      <c r="A31" s="105" t="s">
        <v>696</v>
      </c>
      <c r="B31" s="106"/>
      <c r="C31" s="107"/>
      <c r="D31" s="105" t="s">
        <v>709</v>
      </c>
      <c r="E31" s="106"/>
      <c r="F31" s="107"/>
      <c r="G31" s="105" t="s">
        <v>724</v>
      </c>
      <c r="H31" s="106"/>
      <c r="I31" s="107"/>
      <c r="J31" s="31"/>
    </row>
    <row r="32" spans="1:10" ht="14.45" customHeight="1" x14ac:dyDescent="0.2">
      <c r="A32" s="97"/>
      <c r="B32" s="98"/>
      <c r="C32" s="99"/>
      <c r="D32" s="97"/>
      <c r="E32" s="98"/>
      <c r="F32" s="99"/>
      <c r="G32" s="97"/>
      <c r="H32" s="98"/>
      <c r="I32" s="99"/>
      <c r="J32" s="31"/>
    </row>
    <row r="33" spans="1:10" ht="14.45" customHeight="1" x14ac:dyDescent="0.2">
      <c r="A33" s="97"/>
      <c r="B33" s="98"/>
      <c r="C33" s="99"/>
      <c r="D33" s="97"/>
      <c r="E33" s="98"/>
      <c r="F33" s="99"/>
      <c r="G33" s="97"/>
      <c r="H33" s="98"/>
      <c r="I33" s="99"/>
      <c r="J33" s="31"/>
    </row>
    <row r="34" spans="1:10" ht="14.45" customHeight="1" x14ac:dyDescent="0.2">
      <c r="A34" s="97"/>
      <c r="B34" s="98"/>
      <c r="C34" s="99"/>
      <c r="D34" s="97"/>
      <c r="E34" s="98"/>
      <c r="F34" s="99"/>
      <c r="G34" s="97"/>
      <c r="H34" s="98"/>
      <c r="I34" s="99"/>
      <c r="J34" s="31"/>
    </row>
    <row r="35" spans="1:10" ht="14.45" customHeight="1" x14ac:dyDescent="0.2">
      <c r="A35" s="100" t="s">
        <v>697</v>
      </c>
      <c r="B35" s="101"/>
      <c r="C35" s="102"/>
      <c r="D35" s="100" t="s">
        <v>697</v>
      </c>
      <c r="E35" s="101"/>
      <c r="F35" s="102"/>
      <c r="G35" s="100" t="s">
        <v>697</v>
      </c>
      <c r="H35" s="101"/>
      <c r="I35" s="102"/>
      <c r="J35" s="31"/>
    </row>
    <row r="36" spans="1:10" ht="11.25" customHeight="1" x14ac:dyDescent="0.2">
      <c r="A36" s="41" t="s">
        <v>131</v>
      </c>
      <c r="B36" s="43"/>
      <c r="C36" s="43"/>
      <c r="D36" s="43"/>
      <c r="E36" s="43"/>
      <c r="F36" s="43"/>
      <c r="G36" s="43"/>
      <c r="H36" s="43"/>
      <c r="I36" s="43"/>
    </row>
    <row r="37" spans="1:10" x14ac:dyDescent="0.2">
      <c r="A37" s="56"/>
      <c r="B37" s="57"/>
      <c r="C37" s="57"/>
      <c r="D37" s="57"/>
      <c r="E37" s="57"/>
      <c r="F37" s="57"/>
      <c r="G37" s="57"/>
      <c r="H37" s="57"/>
      <c r="I37" s="57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Pospíšil Zdeněk</cp:lastModifiedBy>
  <dcterms:created xsi:type="dcterms:W3CDTF">2020-10-06T07:19:53Z</dcterms:created>
  <dcterms:modified xsi:type="dcterms:W3CDTF">2020-10-15T06:56:11Z</dcterms:modified>
</cp:coreProperties>
</file>